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5985" yWindow="-45" windowWidth="12630" windowHeight="12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F69" i="1"/>
  <c r="D11" i="13" l="1"/>
  <c r="C20" i="12" l="1"/>
  <c r="B19" i="12"/>
  <c r="B20" i="12"/>
  <c r="C39" i="12"/>
  <c r="B38" i="12"/>
  <c r="B39" i="12"/>
  <c r="C10" i="12"/>
  <c r="B12" i="12"/>
  <c r="B10" i="12"/>
  <c r="B11" i="12"/>
  <c r="J531" i="1"/>
  <c r="I531" i="1"/>
  <c r="H531" i="1"/>
  <c r="G533" i="1"/>
  <c r="G531" i="1"/>
  <c r="F531" i="1"/>
  <c r="J526" i="1"/>
  <c r="H202" i="1"/>
  <c r="G202" i="1"/>
  <c r="H528" i="1"/>
  <c r="H526" i="1"/>
  <c r="I526" i="1"/>
  <c r="G526" i="1"/>
  <c r="F526" i="1"/>
  <c r="I521" i="1"/>
  <c r="G276" i="1"/>
  <c r="G277" i="1"/>
  <c r="H521" i="1"/>
  <c r="H277" i="1"/>
  <c r="H281" i="1"/>
  <c r="H523" i="1"/>
  <c r="F276" i="1"/>
  <c r="F277" i="1"/>
  <c r="F521" i="1"/>
  <c r="H315" i="1"/>
  <c r="H319" i="1"/>
  <c r="G521" i="1"/>
  <c r="I207" i="1" l="1"/>
  <c r="H234" i="1"/>
  <c r="H238" i="1"/>
  <c r="J468" i="1"/>
  <c r="J207" i="1"/>
  <c r="J202" i="1"/>
  <c r="I202" i="1"/>
  <c r="H604" i="1"/>
  <c r="G562" i="1"/>
  <c r="H244" i="1" l="1"/>
  <c r="H208" i="1"/>
  <c r="H207" i="1"/>
  <c r="G207" i="1"/>
  <c r="F207" i="1"/>
  <c r="K205" i="1"/>
  <c r="J205" i="1"/>
  <c r="I205" i="1"/>
  <c r="H205" i="1"/>
  <c r="G205" i="1"/>
  <c r="F205" i="1"/>
  <c r="F204" i="1"/>
  <c r="K204" i="1"/>
  <c r="J204" i="1"/>
  <c r="I204" i="1"/>
  <c r="H204" i="1"/>
  <c r="G240" i="1"/>
  <c r="G204" i="1"/>
  <c r="J203" i="1"/>
  <c r="I203" i="1"/>
  <c r="H203" i="1"/>
  <c r="G203" i="1"/>
  <c r="F203" i="1"/>
  <c r="F202" i="1"/>
  <c r="G200" i="1"/>
  <c r="F200" i="1"/>
  <c r="J198" i="1"/>
  <c r="I198" i="1"/>
  <c r="G198" i="1"/>
  <c r="F198" i="1"/>
  <c r="J197" i="1"/>
  <c r="I197" i="1"/>
  <c r="H197" i="1"/>
  <c r="G197" i="1"/>
  <c r="F197" i="1"/>
  <c r="F12" i="1" l="1"/>
  <c r="F22" i="1"/>
  <c r="F24" i="1"/>
  <c r="F9" i="1"/>
  <c r="G442" i="1"/>
  <c r="I276" i="1"/>
  <c r="H472" i="1"/>
  <c r="I277" i="1"/>
  <c r="H276" i="1"/>
  <c r="H150" i="1" l="1"/>
  <c r="H159" i="1"/>
  <c r="H155" i="1"/>
  <c r="H154" i="1"/>
  <c r="F498" i="1" l="1"/>
  <c r="F495" i="1"/>
  <c r="F368" i="1"/>
  <c r="F367" i="1"/>
  <c r="I358" i="1"/>
  <c r="H358" i="1"/>
  <c r="G358" i="1"/>
  <c r="G158" i="1" l="1"/>
  <c r="G4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D14" i="13" s="1"/>
  <c r="C14" i="13" s="1"/>
  <c r="L225" i="1"/>
  <c r="L243" i="1"/>
  <c r="F15" i="13"/>
  <c r="G15" i="13"/>
  <c r="L208" i="1"/>
  <c r="C21" i="10" s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E118" i="2" s="1"/>
  <c r="E128" i="2" s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C16" i="10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C78" i="2" s="1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2" i="2"/>
  <c r="C113" i="2"/>
  <c r="E113" i="2"/>
  <c r="C114" i="2"/>
  <c r="D115" i="2"/>
  <c r="F115" i="2"/>
  <c r="G115" i="2"/>
  <c r="C119" i="2"/>
  <c r="E119" i="2"/>
  <c r="E120" i="2"/>
  <c r="C121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H461" i="1" s="1"/>
  <c r="H641" i="1" s="1"/>
  <c r="F461" i="1"/>
  <c r="G461" i="1"/>
  <c r="H640" i="1" s="1"/>
  <c r="F470" i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1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A31" i="12"/>
  <c r="D62" i="2"/>
  <c r="D63" i="2" s="1"/>
  <c r="D18" i="2"/>
  <c r="D50" i="2"/>
  <c r="G156" i="2"/>
  <c r="D91" i="2"/>
  <c r="G62" i="2"/>
  <c r="D19" i="13"/>
  <c r="C19" i="13" s="1"/>
  <c r="J571" i="1"/>
  <c r="D81" i="2"/>
  <c r="I169" i="1"/>
  <c r="J140" i="1"/>
  <c r="G22" i="2"/>
  <c r="J552" i="1"/>
  <c r="H552" i="1"/>
  <c r="L401" i="1"/>
  <c r="C139" i="2" s="1"/>
  <c r="H25" i="13"/>
  <c r="C25" i="13" s="1"/>
  <c r="H571" i="1"/>
  <c r="E16" i="13"/>
  <c r="C16" i="13" s="1"/>
  <c r="L570" i="1"/>
  <c r="I571" i="1"/>
  <c r="G36" i="2"/>
  <c r="K551" i="1"/>
  <c r="K545" i="1" l="1"/>
  <c r="J545" i="1"/>
  <c r="I545" i="1"/>
  <c r="F338" i="1"/>
  <c r="F352" i="1" s="1"/>
  <c r="F552" i="1"/>
  <c r="H545" i="1"/>
  <c r="G545" i="1"/>
  <c r="H408" i="1"/>
  <c r="H644" i="1" s="1"/>
  <c r="G408" i="1"/>
  <c r="H645" i="1" s="1"/>
  <c r="J645" i="1"/>
  <c r="K598" i="1"/>
  <c r="G647" i="1" s="1"/>
  <c r="J651" i="1"/>
  <c r="H33" i="13"/>
  <c r="F476" i="1"/>
  <c r="H622" i="1" s="1"/>
  <c r="J622" i="1" s="1"/>
  <c r="C123" i="2"/>
  <c r="C18" i="10"/>
  <c r="G257" i="1"/>
  <c r="G271" i="1" s="1"/>
  <c r="L247" i="1"/>
  <c r="H660" i="1" s="1"/>
  <c r="H664" i="1" s="1"/>
  <c r="H672" i="1" s="1"/>
  <c r="C6" i="10" s="1"/>
  <c r="F257" i="1"/>
  <c r="F271" i="1" s="1"/>
  <c r="E8" i="13"/>
  <c r="C8" i="13" s="1"/>
  <c r="A40" i="12"/>
  <c r="C110" i="2"/>
  <c r="C11" i="10"/>
  <c r="D5" i="13"/>
  <c r="C5" i="13" s="1"/>
  <c r="L211" i="1"/>
  <c r="K257" i="1"/>
  <c r="H257" i="1"/>
  <c r="H271" i="1" s="1"/>
  <c r="C91" i="2"/>
  <c r="C70" i="2"/>
  <c r="F112" i="1"/>
  <c r="C36" i="10" s="1"/>
  <c r="C18" i="2"/>
  <c r="J617" i="1"/>
  <c r="K271" i="1"/>
  <c r="J644" i="1"/>
  <c r="L393" i="1"/>
  <c r="C138" i="2" s="1"/>
  <c r="L270" i="1"/>
  <c r="J655" i="1"/>
  <c r="E103" i="2"/>
  <c r="J640" i="1"/>
  <c r="I460" i="1"/>
  <c r="I461" i="1" s="1"/>
  <c r="H642" i="1" s="1"/>
  <c r="I446" i="1"/>
  <c r="G642" i="1" s="1"/>
  <c r="H476" i="1"/>
  <c r="H624" i="1" s="1"/>
  <c r="J624" i="1" s="1"/>
  <c r="C17" i="10"/>
  <c r="E110" i="2"/>
  <c r="H338" i="1"/>
  <c r="H352" i="1" s="1"/>
  <c r="A13" i="12"/>
  <c r="H169" i="1"/>
  <c r="H52" i="1"/>
  <c r="H619" i="1" s="1"/>
  <c r="J619" i="1" s="1"/>
  <c r="G161" i="2"/>
  <c r="J634" i="1"/>
  <c r="G476" i="1"/>
  <c r="H623" i="1" s="1"/>
  <c r="D127" i="2"/>
  <c r="D128" i="2" s="1"/>
  <c r="J623" i="1"/>
  <c r="J641" i="1"/>
  <c r="D145" i="2"/>
  <c r="F22" i="13"/>
  <c r="C22" i="13" s="1"/>
  <c r="H112" i="1"/>
  <c r="L290" i="1"/>
  <c r="L539" i="1"/>
  <c r="K352" i="1"/>
  <c r="E109" i="2"/>
  <c r="C15" i="10"/>
  <c r="K549" i="1"/>
  <c r="K552" i="1" s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1" i="2"/>
  <c r="C115" i="2" s="1"/>
  <c r="C56" i="2"/>
  <c r="F662" i="1"/>
  <c r="I662" i="1" s="1"/>
  <c r="C13" i="10"/>
  <c r="C81" i="2"/>
  <c r="D29" i="13"/>
  <c r="C29" i="13" s="1"/>
  <c r="I271" i="1"/>
  <c r="K503" i="1"/>
  <c r="L382" i="1"/>
  <c r="G636" i="1" s="1"/>
  <c r="J636" i="1" s="1"/>
  <c r="C62" i="2"/>
  <c r="F661" i="1"/>
  <c r="I661" i="1" s="1"/>
  <c r="C29" i="10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F193" i="1" l="1"/>
  <c r="G627" i="1" s="1"/>
  <c r="J627" i="1" s="1"/>
  <c r="C128" i="2"/>
  <c r="I193" i="1"/>
  <c r="G630" i="1" s="1"/>
  <c r="J630" i="1" s="1"/>
  <c r="L257" i="1"/>
  <c r="L271" i="1" s="1"/>
  <c r="G632" i="1" s="1"/>
  <c r="J632" i="1" s="1"/>
  <c r="F660" i="1"/>
  <c r="F664" i="1" s="1"/>
  <c r="H646" i="1"/>
  <c r="G104" i="2"/>
  <c r="E104" i="2"/>
  <c r="C28" i="10"/>
  <c r="D24" i="10" s="1"/>
  <c r="E115" i="2"/>
  <c r="E145" i="2" s="1"/>
  <c r="H667" i="1"/>
  <c r="L338" i="1"/>
  <c r="L352" i="1" s="1"/>
  <c r="G633" i="1" s="1"/>
  <c r="J633" i="1" s="1"/>
  <c r="G667" i="1"/>
  <c r="C145" i="2"/>
  <c r="F33" i="13"/>
  <c r="E33" i="13"/>
  <c r="D35" i="13" s="1"/>
  <c r="D31" i="13"/>
  <c r="C31" i="13" s="1"/>
  <c r="C63" i="2"/>
  <c r="C104" i="2" s="1"/>
  <c r="L545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C30" i="10"/>
  <c r="D26" i="10"/>
  <c r="D10" i="10"/>
  <c r="D16" i="10"/>
  <c r="D23" i="10"/>
  <c r="D20" i="10"/>
  <c r="D25" i="10"/>
  <c r="D13" i="10"/>
  <c r="D11" i="10"/>
  <c r="D21" i="10"/>
  <c r="D22" i="10"/>
  <c r="D15" i="10"/>
  <c r="D19" i="10"/>
  <c r="D27" i="10"/>
  <c r="D18" i="10"/>
  <c r="D17" i="10"/>
  <c r="D12" i="10"/>
  <c r="D33" i="13"/>
  <c r="D36" i="13" s="1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<sst xmlns="http://schemas.openxmlformats.org/spreadsheetml/2006/main" count="3959" uniqueCount="915">
  <si>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</si>
  <si>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</si>
  <si>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</si>
  <si>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</si>
  <si>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</si>
  <si>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</si>
  <si>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</si>
  <si>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</si>
  <si>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</si>
  <si>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</si>
  <si>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</si>
  <si>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</si>
  <si>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</si>
  <si>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</si>
  <si>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</si>
  <si>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</si>
  <si>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</si>
  <si>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</si>
  <si>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</si>
  <si>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</si>
  <si>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</si>
  <si>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</si>
  <si>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</si>
  <si>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</si>
  <si>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</si>
  <si>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</si>
  <si>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</si>
  <si>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</si>
  <si>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</si>
  <si>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</si>
  <si>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</si>
  <si>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</si>
  <si>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</si>
  <si>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</si>
  <si>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</si>
  <si>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</si>
  <si>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</si>
  <si>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</si>
  <si>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</si>
  <si>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</si>
  <si>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</si>
  <si>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</si>
  <si>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</si>
  <si>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</si>
  <si>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</si>
  <si>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</si>
  <si>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</si>
  <si>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</si>
  <si>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</si>
  <si>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</si>
  <si>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</si>
  <si>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</si>
  <si>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</si>
  <si>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</si>
  <si>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</si>
  <si>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</si>
  <si>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</si>
  <si>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</si>
  <si>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</si>
  <si>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</si>
  <si>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</si>
  <si>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</si>
  <si>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</si>
  <si>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</si>
  <si>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</si>
  <si>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</si>
  <si>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</si>
  <si>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</si>
  <si>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</si>
  <si>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</si>
  <si>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</si>
  <si>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</si>
  <si>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</si>
  <si>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</si>
  <si>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</si>
  <si>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</si>
  <si>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</si>
  <si>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</si>
  <si>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</si>
  <si>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</si>
  <si>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</si>
  <si>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</si>
  <si>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</si>
  <si>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</si>
  <si>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</si>
  <si>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</si>
  <si>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</si>
  <si>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</si>
  <si>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</si>
  <si>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</si>
  <si>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</si>
  <si>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</si>
  <si>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</si>
  <si>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</si>
  <si>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</si>
  <si>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</si>
  <si>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</si>
  <si>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</si>
  <si>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</si>
  <si>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</si>
  <si>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</si>
  <si>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</si>
  <si>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</si>
  <si>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</si>
  <si>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</si>
  <si>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</si>
  <si>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</si>
  <si>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</si>
  <si>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</si>
  <si>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</si>
  <si>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</si>
  <si>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</si>
  <si>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</si>
  <si>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</si>
  <si>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</si>
  <si>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</si>
  <si>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</si>
  <si>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</si>
  <si>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</si>
  <si>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</si>
  <si>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</si>
  <si>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</si>
  <si>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</si>
  <si>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</si>
  <si>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</si>
  <si>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</si>
  <si>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</si>
  <si>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</si>
  <si>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</si>
  <si>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</si>
  <si>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</si>
  <si>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</si>
  <si>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</si>
  <si>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</si>
  <si>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</si>
  <si>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</si>
  <si>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</si>
  <si>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</si>
  <si>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</si>
  <si>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</si>
  <si>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</si>
  <si>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</si>
  <si>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</si>
  <si>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</si>
  <si>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</si>
  <si>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</si>
  <si>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</si>
  <si>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</si>
  <si>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</si>
  <si>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</si>
  <si>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</si>
  <si>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</si>
  <si>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</si>
  <si>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</si>
  <si>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</si>
  <si>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</si>
  <si>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</si>
  <si>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</si>
  <si>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</si>
  <si>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</si>
  <si>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</si>
  <si>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</si>
  <si>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</si>
  <si>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</si>
  <si>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</si>
  <si>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</si>
  <si>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</si>
  <si>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</si>
  <si>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</si>
  <si>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</si>
  <si>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</si>
  <si>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</si>
  <si>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</si>
  <si>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</si>
  <si>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</si>
  <si>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</si>
  <si>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</si>
  <si>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</si>
  <si>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</si>
  <si>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</si>
  <si>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</si>
  <si>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</si>
  <si>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</si>
  <si>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</si>
  <si>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</si>
  <si>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</si>
  <si>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</si>
  <si>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</si>
  <si>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</si>
  <si>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</si>
  <si>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</si>
  <si>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</si>
  <si>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</si>
  <si>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</si>
  <si>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</si>
  <si>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</si>
  <si>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</si>
  <si>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</si>
  <si>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</si>
  <si>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</si>
  <si>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</si>
  <si>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</si>
  <si>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</si>
  <si>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</si>
  <si>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</si>
  <si>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</si>
  <si>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</si>
  <si>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</si>
  <si>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</si>
  <si>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</si>
  <si>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</si>
  <si>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</si>
  <si>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</si>
  <si>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</si>
  <si>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</si>
  <si>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</si>
  <si>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</si>
  <si>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</si>
  <si>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</si>
  <si>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</si>
  <si>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</si>
  <si>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</si>
  <si>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</si>
  <si>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</si>
  <si>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</si>
  <si>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</si>
  <si>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</si>
  <si>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</si>
  <si>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</si>
  <si>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</si>
  <si>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</si>
  <si>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</si>
  <si>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</si>
  <si>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</si>
  <si>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</si>
  <si>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</si>
  <si>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</si>
  <si>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</si>
  <si>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</si>
  <si>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</si>
  <si>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</si>
  <si>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</si>
  <si>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</si>
  <si>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</si>
  <si>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</si>
  <si>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</si>
  <si>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</si>
  <si>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</si>
  <si>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</si>
  <si>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</si>
  <si>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</si>
  <si>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</si>
  <si>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</si>
  <si>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</si>
  <si>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</si>
  <si>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</si>
  <si>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</si>
  <si>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</si>
  <si>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</si>
  <si>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</si>
  <si>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</si>
  <si>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</si>
  <si>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</si>
  <si>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</si>
  <si>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</si>
  <si>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</si>
  <si>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</si>
  <si>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</si>
  <si>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</si>
  <si>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</si>
  <si>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</si>
  <si>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</si>
  <si>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</si>
  <si>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</si>
  <si>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</si>
  <si>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</si>
  <si>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</si>
  <si>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</si>
  <si>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</si>
  <si>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</si>
  <si>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</si>
  <si>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</si>
  <si>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</si>
  <si>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</si>
  <si>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</si>
  <si>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</si>
  <si>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</si>
  <si>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</si>
  <si>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</si>
  <si>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</si>
  <si>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</si>
  <si>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</si>
  <si>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</si>
  <si>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</si>
  <si>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</si>
  <si>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</si>
  <si>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</si>
  <si>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</si>
  <si>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</si>
  <si>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</si>
  <si>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</si>
  <si>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</si>
  <si>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</si>
  <si>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</si>
  <si>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</si>
  <si>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</si>
  <si>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</si>
  <si>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</si>
  <si>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</si>
  <si>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</si>
  <si>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</si>
  <si>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</si>
  <si>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</si>
  <si>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</si>
  <si>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</si>
  <si>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</si>
  <si>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</si>
  <si>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</si>
  <si>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</si>
  <si>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</si>
  <si>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</si>
  <si>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</si>
  <si>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</si>
  <si>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</si>
  <si>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</si>
  <si>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</si>
  <si>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</si>
  <si>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</si>
  <si>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</si>
  <si>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</si>
  <si>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</si>
  <si>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</si>
  <si>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</si>
  <si>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</si>
  <si>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</si>
  <si>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</si>
  <si>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</si>
  <si>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</si>
  <si>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</si>
  <si>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</si>
  <si>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</si>
  <si>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</si>
  <si>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</si>
  <si>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</si>
  <si>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</si>
  <si>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</si>
  <si>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</si>
  <si>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</si>
  <si>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</si>
  <si>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</si>
  <si>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</si>
  <si>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</si>
  <si>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</si>
  <si>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</si>
  <si>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</si>
  <si>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</si>
  <si>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</si>
  <si>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</si>
  <si>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</si>
  <si>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</si>
  <si>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</si>
  <si>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</si>
  <si>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</si>
  <si>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</si>
  <si>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</si>
  <si>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</si>
  <si>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</si>
  <si>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</si>
  <si>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</si>
  <si>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</si>
  <si>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</si>
  <si>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</si>
  <si>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</si>
  <si>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</si>
  <si>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</si>
  <si>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</si>
  <si>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</si>
  <si>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</si>
  <si>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</si>
  <si>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</si>
  <si>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</si>
  <si>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</si>
  <si>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</si>
  <si>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</si>
  <si>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</si>
  <si>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</si>
  <si>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</si>
  <si>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</si>
  <si>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</si>
  <si>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</si>
  <si>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</si>
  <si>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</si>
  <si>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</si>
  <si>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</si>
  <si>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</si>
  <si>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</si>
  <si>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</si>
  <si>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</si>
  <si>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</si>
  <si>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</si>
  <si>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</si>
  <si>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</si>
  <si>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</si>
  <si>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</si>
  <si>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</si>
  <si>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</si>
  <si>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</si>
  <si>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</si>
  <si>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</si>
  <si>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</si>
  <si>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</si>
  <si>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</si>
  <si>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</si>
  <si>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</si>
  <si>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</si>
  <si>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</si>
  <si>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</si>
  <si>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</si>
  <si>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</si>
  <si>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</si>
  <si>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</si>
  <si>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</si>
  <si>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</si>
  <si>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</si>
  <si>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</si>
  <si>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</si>
  <si>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</si>
  <si>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</si>
  <si>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</si>
  <si>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</si>
  <si>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</si>
  <si>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</si>
  <si>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</si>
  <si>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</si>
  <si>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</si>
  <si>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</si>
  <si>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</si>
  <si>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</si>
  <si>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</si>
  <si>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</si>
  <si>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</si>
  <si>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</si>
  <si>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</si>
  <si>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</si>
  <si>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</si>
  <si>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</si>
  <si>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</si>
  <si>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</si>
  <si>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</si>
  <si>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</si>
  <si>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</si>
  <si>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</si>
  <si>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</si>
  <si>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</si>
  <si>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</si>
  <si>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</si>
  <si>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</si>
  <si>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</si>
  <si>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</si>
  <si>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</si>
  <si>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</si>
  <si>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</si>
  <si>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</si>
  <si>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</si>
  <si>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</si>
  <si>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</si>
  <si>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</si>
  <si>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</si>
  <si>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</si>
  <si>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</si>
  <si>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</si>
  <si>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</si>
  <si>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</si>
  <si>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</si>
  <si>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</si>
  <si>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</si>
  <si>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</si>
  <si>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</si>
  <si>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</si>
  <si>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</si>
  <si>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</si>
  <si>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</si>
  <si>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</si>
  <si>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</si>
  <si>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</si>
  <si>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</si>
  <si>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</si>
  <si>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</si>
  <si>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</si>
  <si>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</si>
  <si>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</si>
  <si>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</si>
  <si>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</si>
  <si>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</si>
  <si>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</si>
  <si>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</si>
  <si>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</si>
  <si>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</si>
  <si>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</si>
  <si>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</si>
  <si>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</si>
  <si>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</si>
  <si>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</si>
  <si>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</si>
  <si>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</si>
  <si>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</si>
  <si>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</si>
  <si>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</si>
  <si>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</si>
  <si>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</si>
  <si>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</si>
  <si>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</si>
  <si>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</si>
  <si>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</si>
  <si>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</si>
  <si>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</si>
  <si>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</si>
  <si>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</si>
  <si>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</si>
  <si>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</si>
  <si>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</si>
  <si>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</si>
  <si>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</si>
  <si>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</si>
  <si>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</si>
  <si>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</si>
  <si>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</si>
  <si>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</si>
  <si>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</si>
  <si>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</si>
  <si>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</si>
  <si>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</si>
  <si>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</si>
  <si>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</si>
  <si>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</si>
  <si>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</si>
  <si>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</si>
  <si>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</si>
  <si>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</si>
  <si>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</si>
  <si>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</si>
  <si>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</si>
  <si>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</si>
  <si>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</si>
  <si>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</si>
  <si>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</si>
  <si>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</si>
  <si>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</si>
  <si>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</si>
  <si>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</si>
  <si>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</si>
  <si>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</si>
  <si>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</si>
  <si>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</si>
  <si>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</si>
  <si>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</si>
  <si>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</si>
  <si>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</si>
  <si>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</si>
  <si>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</si>
  <si>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</si>
  <si>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</si>
  <si>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</si>
  <si>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</si>
  <si>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</si>
  <si>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</si>
  <si>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</si>
  <si>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</si>
  <si>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</si>
  <si>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</si>
  <si>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</si>
  <si>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</si>
  <si>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</si>
  <si>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</si>
  <si>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</si>
  <si>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</si>
  <si>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</si>
  <si>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</si>
  <si>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</si>
  <si>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</si>
  <si>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</si>
  <si>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</si>
  <si>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</si>
  <si>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</si>
  <si>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</si>
  <si>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</si>
  <si>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</si>
  <si>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</si>
  <si>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</si>
  <si>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</si>
  <si>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</si>
  <si>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</si>
  <si>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</si>
  <si>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</si>
  <si>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</si>
  <si>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</si>
  <si>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</si>
  <si>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</si>
  <si>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</si>
  <si>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</si>
  <si>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</si>
  <si>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</si>
  <si>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</si>
  <si>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</si>
  <si>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</si>
  <si>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</si>
  <si>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</si>
  <si>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</si>
  <si>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</si>
  <si>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</si>
  <si>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</si>
  <si>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</si>
  <si>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</si>
  <si>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</si>
  <si>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</si>
  <si>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</si>
  <si>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</si>
  <si>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</si>
  <si>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</si>
  <si>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</si>
  <si>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</si>
  <si>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</si>
  <si>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</si>
  <si>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</si>
  <si>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</si>
  <si>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</si>
  <si>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</si>
  <si>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</si>
  <si>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</si>
  <si>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</si>
  <si>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</si>
  <si>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</si>
  <si>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</si>
  <si>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</si>
  <si>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</si>
  <si>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</si>
  <si>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</si>
  <si>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</si>
  <si>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</si>
  <si>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</si>
  <si>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</si>
  <si>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</si>
  <si>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</si>
  <si>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</si>
  <si>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</si>
  <si>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</si>
  <si>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</si>
  <si>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</si>
  <si>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</si>
  <si>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</si>
  <si>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</si>
  <si>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</si>
  <si>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</si>
  <si>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</si>
  <si>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</si>
  <si>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</si>
  <si>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</si>
  <si>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</si>
  <si>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</si>
  <si>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</si>
  <si>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</si>
  <si>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</si>
  <si>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</si>
  <si>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</si>
  <si>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</si>
  <si>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</si>
  <si>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</si>
  <si>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</si>
  <si>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</si>
  <si>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</si>
  <si>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</si>
  <si>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</si>
  <si>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</si>
  <si>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</si>
  <si>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</si>
  <si>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</si>
  <si>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</si>
  <si>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</si>
  <si>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</si>
  <si>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</si>
  <si>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</si>
  <si>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</si>
  <si>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</si>
  <si>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</si>
  <si>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</si>
  <si>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</si>
  <si>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</si>
  <si>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</si>
  <si>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</si>
  <si>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</si>
  <si>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</si>
  <si>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</si>
  <si>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</si>
  <si>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</si>
  <si>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</si>
  <si>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</si>
  <si>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</si>
  <si>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</si>
  <si>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</si>
  <si>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</si>
  <si>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</si>
  <si>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</si>
  <si>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</si>
  <si>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</si>
  <si>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</si>
  <si>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</si>
  <si>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</si>
  <si>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</si>
  <si>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</si>
  <si>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</si>
  <si>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</si>
  <si>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</si>
  <si>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</si>
  <si>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</si>
  <si>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</si>
  <si>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</si>
  <si>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</si>
  <si>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</si>
  <si>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</si>
  <si>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</si>
  <si>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</si>
  <si>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</si>
  <si>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</si>
  <si>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</si>
  <si>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</si>
  <si>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</si>
  <si>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</si>
  <si>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</si>
  <si>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</si>
  <si>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</si>
  <si>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</si>
  <si>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</si>
  <si>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</si>
  <si>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</si>
  <si>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</si>
  <si>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</si>
  <si>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</si>
  <si>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</si>
  <si>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</si>
  <si>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</si>
  <si>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</si>
  <si>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</si>
  <si>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</si>
  <si>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</si>
  <si>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</si>
  <si>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</si>
  <si>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</si>
  <si>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</si>
  <si>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</si>
  <si>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</si>
  <si>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</si>
  <si>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</si>
  <si>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</si>
  <si>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</si>
  <si>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</si>
  <si>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</si>
  <si>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</si>
  <si>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</si>
  <si>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</si>
  <si>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</si>
  <si>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</si>
  <si>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</si>
  <si>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</si>
  <si>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</si>
  <si>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</si>
  <si>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</si>
  <si>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</si>
  <si>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</si>
  <si>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</si>
  <si>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</si>
  <si>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</si>
  <si>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</si>
  <si>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</si>
  <si>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</si>
  <si>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</si>
  <si>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</si>
  <si>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</si>
  <si>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</si>
  <si>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</si>
  <si>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</si>
  <si>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</si>
  <si>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</si>
  <si>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</si>
  <si>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</si>
  <si>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</si>
  <si>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</si>
  <si>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</si>
  <si>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</si>
  <si>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</si>
  <si>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</si>
  <si>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</si>
  <si>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</si>
  <si>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</si>
  <si>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</si>
  <si>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</si>
  <si>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</si>
  <si>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</si>
  <si>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</si>
  <si>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</si>
  <si>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</si>
  <si>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</si>
  <si>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</si>
  <si>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</si>
  <si>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</si>
  <si>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</si>
  <si>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</si>
  <si>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</si>
  <si>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</si>
  <si>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</si>
  <si>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</si>
  <si>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</si>
  <si>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</si>
  <si>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</si>
  <si>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</si>
  <si>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</si>
  <si>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</si>
  <si>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</si>
  <si>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</si>
  <si>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</si>
  <si>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</si>
  <si>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</si>
  <si>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</si>
  <si>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</si>
  <si>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</si>
  <si>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</si>
  <si>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</si>
  <si>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</si>
  <si>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</si>
  <si>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</si>
  <si>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</si>
  <si>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</si>
  <si>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</si>
  <si>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</si>
  <si>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</si>
  <si>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</si>
  <si>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</si>
  <si>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</si>
  <si>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</si>
  <si>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</si>
  <si>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</si>
  <si>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</si>
  <si>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</si>
  <si>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</si>
  <si>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</si>
  <si>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</si>
  <si>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</si>
  <si>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</si>
  <si>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</si>
  <si>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</si>
  <si>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</si>
  <si>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</si>
  <si>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</si>
  <si>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</si>
  <si>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</si>
  <si>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</si>
  <si>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</si>
  <si>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</si>
  <si>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</si>
  <si>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</si>
  <si>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</si>
  <si>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</si>
  <si>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</si>
  <si>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</si>
  <si>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</si>
  <si>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</si>
  <si>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</si>
  <si>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</si>
  <si>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</si>
  <si>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</si>
  <si>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</si>
  <si>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</si>
  <si>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</si>
  <si>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</si>
  <si>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</si>
  <si>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</si>
  <si>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</si>
  <si>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</si>
  <si>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</si>
  <si>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</si>
  <si>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</si>
  <si>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</si>
  <si>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</si>
  <si>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</si>
  <si>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</si>
  <si>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</si>
  <si>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</si>
  <si>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</si>
  <si>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</si>
  <si>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</si>
  <si>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</si>
  <si>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</si>
  <si>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</si>
  <si>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</si>
  <si>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</si>
  <si>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</si>
  <si>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</si>
  <si>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</si>
  <si>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</si>
  <si>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</si>
  <si>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</si>
  <si>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</si>
  <si>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</si>
  <si>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</si>
  <si>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</si>
  <si>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</si>
  <si>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</si>
  <si>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</si>
  <si>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</si>
  <si>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</si>
  <si>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</si>
  <si>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</si>
  <si>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</si>
  <si>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Chester School District SAU 82</t>
  </si>
  <si>
    <t xml:space="preserve"> 01/12</t>
  </si>
  <si>
    <t xml:space="preserve"> 07/18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</si>
</sst>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93</v>
      </c>
      <c r="C2" s="21">
        <v>93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845844.57+174.71</f>
        <v>846019.27999999991</v>
      </c>
      <c r="G9" s="18">
        <v>57651.17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6782.96+5803.81</f>
        <v>12586.77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60372.52</v>
      </c>
      <c r="G13" s="18">
        <v>1268.19</v>
      </c>
      <c r="H13" s="18">
        <v>10080.16</v>
      </c>
      <c r="I13" s="18"/>
      <c r="J13" s="67">
        <f>SUM(I442)</f>
        <v>311108.47999999998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7492.14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1960.33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1447</v>
      </c>
      <c r="G17" s="18">
        <v>600</v>
      </c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927917.71</v>
      </c>
      <c r="G19" s="41">
        <f>SUM(G9:G18)</f>
        <v>61479.69</v>
      </c>
      <c r="H19" s="41">
        <f>SUM(H9:H18)</f>
        <v>10080.16</v>
      </c>
      <c r="I19" s="41">
        <f>SUM(I9:I18)</f>
        <v>0</v>
      </c>
      <c r="J19" s="41">
        <f>SUM(J9:J18)</f>
        <v>311108.47999999998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f>1553.9</f>
        <v>1553.9</v>
      </c>
      <c r="G22" s="18">
        <v>39495.67</v>
      </c>
      <c r="H22" s="18">
        <v>5803.81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17613.66+102464.06+5647.81</f>
        <v>125725.53</v>
      </c>
      <c r="G24" s="18">
        <v>48.75</v>
      </c>
      <c r="H24" s="18">
        <v>3397.2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15063.14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12990</v>
      </c>
      <c r="G30" s="18">
        <v>5333.67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155332.57</v>
      </c>
      <c r="G32" s="41">
        <f>SUM(G22:G31)</f>
        <v>44878.09</v>
      </c>
      <c r="H32" s="41">
        <f>SUM(H22:H31)</f>
        <v>9201.01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1960.33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1447</v>
      </c>
      <c r="G36" s="18">
        <v>600</v>
      </c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6782.96</v>
      </c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f>15170.51-529.24-600</f>
        <v>14041.27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219679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174.71</v>
      </c>
      <c r="G48" s="18"/>
      <c r="H48" s="18"/>
      <c r="I48" s="18"/>
      <c r="J48" s="13">
        <f>SUM(I459)</f>
        <v>311108.47999999998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92047.44</v>
      </c>
      <c r="G49" s="18"/>
      <c r="H49" s="18">
        <v>879.15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427454.03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772585.14</v>
      </c>
      <c r="G51" s="41">
        <f>SUM(G35:G50)</f>
        <v>16601.599999999999</v>
      </c>
      <c r="H51" s="41">
        <f>SUM(H35:H50)</f>
        <v>879.15</v>
      </c>
      <c r="I51" s="41">
        <f>SUM(I35:I50)</f>
        <v>0</v>
      </c>
      <c r="J51" s="41">
        <f>SUM(J35:J50)</f>
        <v>311108.47999999998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927917.71</v>
      </c>
      <c r="G52" s="41">
        <f>G51+G32</f>
        <v>61479.689999999995</v>
      </c>
      <c r="H52" s="41">
        <f>H51+H32</f>
        <v>10080.16</v>
      </c>
      <c r="I52" s="41">
        <f>I51+I32</f>
        <v>0</v>
      </c>
      <c r="J52" s="41">
        <f>J51+J32</f>
        <v>311108.47999999998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7584909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7584909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15960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f>28694.57-15960</f>
        <v>12734.57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29906.27</v>
      </c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58600.84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1499.89</v>
      </c>
      <c r="G96" s="18"/>
      <c r="H96" s="18"/>
      <c r="I96" s="18"/>
      <c r="J96" s="18">
        <v>7081.31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135124.20000000001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3039.61-464.84</f>
        <v>2574.77</v>
      </c>
      <c r="G110" s="18">
        <v>2952.84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4074.66</v>
      </c>
      <c r="G111" s="41">
        <f>SUM(G96:G110)</f>
        <v>138077.04</v>
      </c>
      <c r="H111" s="41">
        <f>SUM(H96:H110)</f>
        <v>0</v>
      </c>
      <c r="I111" s="41">
        <f>SUM(I96:I110)</f>
        <v>0</v>
      </c>
      <c r="J111" s="41">
        <f>SUM(J96:J110)</f>
        <v>7081.31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7647584.5</v>
      </c>
      <c r="G112" s="41">
        <f>G60+G111</f>
        <v>138077.04</v>
      </c>
      <c r="H112" s="41">
        <f>H60+H79+H94+H111</f>
        <v>0</v>
      </c>
      <c r="I112" s="41">
        <f>I60+I111</f>
        <v>0</v>
      </c>
      <c r="J112" s="41">
        <f>J60+J111</f>
        <v>7081.31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2653831.63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1202253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10973.87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3867058.5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90000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63163.17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2385.42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5268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153163.16999999998</v>
      </c>
      <c r="G136" s="41">
        <f>SUM(G123:G135)</f>
        <v>2385.42</v>
      </c>
      <c r="H136" s="41">
        <f>SUM(H123:H135)</f>
        <v>5268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4020221.67</v>
      </c>
      <c r="G140" s="41">
        <f>G121+SUM(G136:G137)</f>
        <v>2385.42</v>
      </c>
      <c r="H140" s="41">
        <f>H121+SUM(H136:H139)</f>
        <v>5268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f>3027.97+18686.73</f>
        <v>21714.7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13401.4+1248.09+3749.45</f>
        <v>18398.939999999999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10800</f>
        <v>10800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28004.77+9770.12</f>
        <v>37774.89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7283.29+59194.21+4751.25+5917.48+3000+18000+3116.99</f>
        <v>101263.22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102760.24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2643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102760.24</v>
      </c>
      <c r="G162" s="41">
        <f>SUM(G150:G161)</f>
        <v>40417.89</v>
      </c>
      <c r="H162" s="41">
        <f>SUM(H150:H161)</f>
        <v>152176.85999999999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102760.24</v>
      </c>
      <c r="G169" s="41">
        <f>G147+G162+SUM(G163:G168)</f>
        <v>40417.89</v>
      </c>
      <c r="H169" s="41">
        <f>H147+H162+SUM(H163:H168)</f>
        <v>152176.85999999999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>
        <v>0</v>
      </c>
      <c r="J179" s="18">
        <v>25000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6782.96</v>
      </c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6782.96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6782.96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11777349.370000001</v>
      </c>
      <c r="G193" s="47">
        <f>G112+G140+G169+G192</f>
        <v>180880.35000000003</v>
      </c>
      <c r="H193" s="47">
        <f>H112+H140+H169+H192</f>
        <v>157444.85999999999</v>
      </c>
      <c r="I193" s="47">
        <f>I112+I140+I169+I192</f>
        <v>0</v>
      </c>
      <c r="J193" s="47">
        <f>J112+J140+J192</f>
        <v>32081.31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1821372.88+18694.95+25030.25+4644+44118.35+7560</f>
        <v>1921420.43</v>
      </c>
      <c r="G197" s="18">
        <f>393175.85+25921.28+2516.35+5213.16+139804.82+1449.87+302364.37+3212.98+10338.06+99</f>
        <v>884095.74</v>
      </c>
      <c r="H197" s="18">
        <f>6135+313.57</f>
        <v>6448.57</v>
      </c>
      <c r="I197" s="18">
        <f>28413.21+362.68+45674.94+1309.93+15172.79+3978.71+4797.94</f>
        <v>99710.2</v>
      </c>
      <c r="J197" s="18">
        <f>652.02+3284.43+3334.79</f>
        <v>7271.24</v>
      </c>
      <c r="K197" s="18">
        <v>100</v>
      </c>
      <c r="L197" s="19">
        <f>SUM(F197:K197)</f>
        <v>2919046.18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303413.93+3136.92+278708.64+200</f>
        <v>585459.49</v>
      </c>
      <c r="G198" s="18">
        <f>128615.89+5390.1+434.99+1685.91+10.44+47319.14+215.57+24.4+1014.27+52685.68+1872.24+3395.22+17.64</f>
        <v>242681.48999999996</v>
      </c>
      <c r="H198" s="18">
        <v>300</v>
      </c>
      <c r="I198" s="18">
        <f>1515.97+286.26+67.05+165.82+625.95+672.19</f>
        <v>3333.2400000000002</v>
      </c>
      <c r="J198" s="18">
        <f>436.44+69.99</f>
        <v>506.43</v>
      </c>
      <c r="K198" s="18"/>
      <c r="L198" s="19">
        <f>SUM(F198:K198)</f>
        <v>832280.65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21642.65+38180.64</f>
        <v>59823.29</v>
      </c>
      <c r="G200" s="18">
        <f>4424.59+61.57+8475.28+337.72</f>
        <v>13299.16</v>
      </c>
      <c r="H200" s="18">
        <v>5857</v>
      </c>
      <c r="I200" s="18">
        <v>1794.9</v>
      </c>
      <c r="J200" s="18">
        <v>5924.6</v>
      </c>
      <c r="K200" s="18">
        <v>570</v>
      </c>
      <c r="L200" s="19">
        <f>SUM(F200:K200)</f>
        <v>87268.95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72935.05+637.81+5116.05+47373.91+736.8+26735+55645+556.45+34945+469.45+375</f>
        <v>245525.52000000002</v>
      </c>
      <c r="G202" s="18">
        <f>24387.15+1379.76+75+177.84+5341.58+48.79+11901.46+125.68+414.83+3.88+19313.62+928.21+108.37+204.77+5364.91+56.38+8149.56+149.78+391.41+4.68+1661.2+388+75+156.72+4375.04+42.57+9660+74.89+219.65+2.19+14302.66+1135.26+70.56+133.32+3173.56+35.92+8149.56+74.89+248.43+2.48+28.69+65.1+5.63+562.39</f>
        <v>123171.36999999998</v>
      </c>
      <c r="H202" s="18">
        <f>122+12401+2400+112187.17+907.39+7587.25</f>
        <v>135604.81</v>
      </c>
      <c r="I202" s="18">
        <f>322.39+14149.57+114.31+4424.55+302.25+612.73+766.93+58.53+427.68+613.8+1348.52</f>
        <v>23141.26</v>
      </c>
      <c r="J202" s="18">
        <f>2234.98+69.99+54.85+212.24+251.11+360</f>
        <v>3183.1699999999996</v>
      </c>
      <c r="K202" s="18"/>
      <c r="L202" s="19">
        <f t="shared" ref="L202:L208" si="0">SUM(F202:K202)</f>
        <v>530626.13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7214.2+2025+46945+469.45+72338+28879.51+2908.5</f>
        <v>160779.66</v>
      </c>
      <c r="G203" s="18">
        <f>706.79+1516.55+5794+59.17+1470.59+70.56+133.32+3667.64+8149.56+74.89+248.43+2.48+14695.06+892.4+75+194.88+7594.06+11291.1+165.83+569.6+343.4</f>
        <v>57715.31</v>
      </c>
      <c r="H203" s="18">
        <f>4200+2535+20595.77+9509.24+5632+572.34+2700.63</f>
        <v>45744.979999999996</v>
      </c>
      <c r="I203" s="18">
        <f>662.04+1301.09+4750.48+2486.41+439.54+1684+479.4+4737.22+5830.18</f>
        <v>22370.36</v>
      </c>
      <c r="J203" s="18">
        <f>1295.9+3158+3748.97+375+5713+5894+115992.48</f>
        <v>136177.35</v>
      </c>
      <c r="K203" s="18"/>
      <c r="L203" s="19">
        <f t="shared" si="0"/>
        <v>422787.66000000003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9400+1000+640+900+191337.63+1300+63635.25+35812.85</f>
        <v>304025.73</v>
      </c>
      <c r="G204" s="18">
        <f>913.41+11.38+205+31353.71+1910.53+200.53+521.73+13944.27+9807.57+1728.4+224.67+1038.23+1183.33+15226.99+1317.06+230.67+7593.4+11047.06+3990.16+149.78+626.72+422</f>
        <v>103646.59999999999</v>
      </c>
      <c r="H204" s="18">
        <f>395+5800.43+1562.44+13000+9.09+1190+657.32+8536.66+874.78+533.94+447.24+1571.31+249.25+497.07</f>
        <v>35324.53</v>
      </c>
      <c r="I204" s="18">
        <f>145.01+1363.07+6615+535.83+564</f>
        <v>9222.91</v>
      </c>
      <c r="J204" s="18">
        <f>410+73.59+2094.99</f>
        <v>2578.58</v>
      </c>
      <c r="K204" s="18">
        <f>3859.68+1252.75+1632.47+1518.5+150</f>
        <v>8413.4000000000015</v>
      </c>
      <c r="L204" s="19">
        <f t="shared" si="0"/>
        <v>463211.75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96500+81500+2200+70703.11</f>
        <v>250903.11</v>
      </c>
      <c r="G205" s="18">
        <f>51462.55+2764.82+150+478.92+17895.37+8296.46+30397.32+299.56+1350.63+2017.3+250</f>
        <v>115362.93000000001</v>
      </c>
      <c r="H205" s="18">
        <f>689+4646.67+9052.98+3587.23+102.35</f>
        <v>18078.23</v>
      </c>
      <c r="I205" s="18">
        <f>9468.6+288.87+13963.8</f>
        <v>23721.27</v>
      </c>
      <c r="J205" s="18">
        <f>947.54+5760+4675.44</f>
        <v>11382.98</v>
      </c>
      <c r="K205" s="18">
        <f>545+1299.19</f>
        <v>1844.19</v>
      </c>
      <c r="L205" s="19">
        <f t="shared" si="0"/>
        <v>421292.70999999996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156013.96+5945.11</f>
        <v>161959.06999999998</v>
      </c>
      <c r="G207" s="18">
        <f>16419.28+1707.2+75+156.84+11973.64+15962.13+395.63+873.08+470</f>
        <v>48032.799999999996</v>
      </c>
      <c r="H207" s="18">
        <f>4599.66+5322.93+13000+526+37606.36+69805.65+16299+2476+20190+528.88+598.18</f>
        <v>170952.65999999997</v>
      </c>
      <c r="I207" s="18">
        <f>35615.65+82879.18+51697.51+251.34</f>
        <v>170443.68</v>
      </c>
      <c r="J207" s="18">
        <f>1439.99+5194.13</f>
        <v>6634.12</v>
      </c>
      <c r="K207" s="18"/>
      <c r="L207" s="19">
        <f t="shared" si="0"/>
        <v>558022.32999999996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431769.6+158209.84+2749.4+10772.85+2665-185043.85-120769.84</f>
        <v>300353</v>
      </c>
      <c r="I208" s="18"/>
      <c r="J208" s="18"/>
      <c r="K208" s="18"/>
      <c r="L208" s="19">
        <f t="shared" si="0"/>
        <v>300353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3689896.3</v>
      </c>
      <c r="G211" s="41">
        <f t="shared" si="1"/>
        <v>1588005.4</v>
      </c>
      <c r="H211" s="41">
        <f t="shared" si="1"/>
        <v>718663.78</v>
      </c>
      <c r="I211" s="41">
        <f t="shared" si="1"/>
        <v>353737.81999999995</v>
      </c>
      <c r="J211" s="41">
        <f t="shared" si="1"/>
        <v>173658.47</v>
      </c>
      <c r="K211" s="41">
        <f t="shared" si="1"/>
        <v>10927.590000000002</v>
      </c>
      <c r="L211" s="41">
        <f t="shared" si="1"/>
        <v>6534889.3600000003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3758578.41</v>
      </c>
      <c r="I233" s="18"/>
      <c r="J233" s="18"/>
      <c r="K233" s="18"/>
      <c r="L233" s="19">
        <f>SUM(F233:K233)</f>
        <v>3758578.41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108604.34+388633.42+212025.86+69439.59</f>
        <v>778703.21</v>
      </c>
      <c r="I234" s="18"/>
      <c r="J234" s="18"/>
      <c r="K234" s="18"/>
      <c r="L234" s="19">
        <f>SUM(F234:K234)</f>
        <v>778703.21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f>3100.25+17091</f>
        <v>20191.25</v>
      </c>
      <c r="I238" s="18"/>
      <c r="J238" s="18"/>
      <c r="K238" s="18"/>
      <c r="L238" s="19">
        <f t="shared" ref="L238:L244" si="4">SUM(F238:K238)</f>
        <v>20191.25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21211.75</v>
      </c>
      <c r="G240" s="18">
        <f>5075.67+283.8+76.89+1212.7+3682.36</f>
        <v>10331.42</v>
      </c>
      <c r="H240" s="18">
        <v>4724.33</v>
      </c>
      <c r="I240" s="18"/>
      <c r="J240" s="18"/>
      <c r="K240" s="18"/>
      <c r="L240" s="19">
        <f t="shared" si="4"/>
        <v>36267.5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120769.84+185043.85</f>
        <v>305813.69</v>
      </c>
      <c r="I244" s="18"/>
      <c r="J244" s="18"/>
      <c r="K244" s="18"/>
      <c r="L244" s="19">
        <f t="shared" si="4"/>
        <v>305813.69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21211.75</v>
      </c>
      <c r="G247" s="41">
        <f t="shared" si="5"/>
        <v>10331.42</v>
      </c>
      <c r="H247" s="41">
        <f t="shared" si="5"/>
        <v>4868010.8900000006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4899554.0600000005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3711108.05</v>
      </c>
      <c r="G257" s="41">
        <f t="shared" si="8"/>
        <v>1598336.8199999998</v>
      </c>
      <c r="H257" s="41">
        <f t="shared" si="8"/>
        <v>5586674.6700000009</v>
      </c>
      <c r="I257" s="41">
        <f t="shared" si="8"/>
        <v>353737.81999999995</v>
      </c>
      <c r="J257" s="41">
        <f t="shared" si="8"/>
        <v>173658.47</v>
      </c>
      <c r="K257" s="41">
        <f t="shared" si="8"/>
        <v>10927.590000000002</v>
      </c>
      <c r="L257" s="41">
        <f t="shared" si="8"/>
        <v>11434443.420000002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285000</v>
      </c>
      <c r="L260" s="19">
        <f>SUM(F260:K260)</f>
        <v>285000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12075</v>
      </c>
      <c r="L261" s="19">
        <f>SUM(F261:K261)</f>
        <v>12075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25000</v>
      </c>
      <c r="L266" s="19">
        <f t="shared" si="9"/>
        <v>25000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322075</v>
      </c>
      <c r="L270" s="41">
        <f t="shared" si="9"/>
        <v>322075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3711108.05</v>
      </c>
      <c r="G271" s="42">
        <f t="shared" si="11"/>
        <v>1598336.8199999998</v>
      </c>
      <c r="H271" s="42">
        <f t="shared" si="11"/>
        <v>5586674.6700000009</v>
      </c>
      <c r="I271" s="42">
        <f t="shared" si="11"/>
        <v>353737.81999999995</v>
      </c>
      <c r="J271" s="42">
        <f t="shared" si="11"/>
        <v>173658.47</v>
      </c>
      <c r="K271" s="42">
        <f t="shared" si="11"/>
        <v>333002.59000000003</v>
      </c>
      <c r="L271" s="42">
        <f t="shared" si="11"/>
        <v>11756518.420000002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1000+10800</f>
        <v>11800</v>
      </c>
      <c r="G276" s="18">
        <f>155.39</f>
        <v>155.38999999999999</v>
      </c>
      <c r="H276" s="18">
        <f>5395+1214.67</f>
        <v>6609.67</v>
      </c>
      <c r="I276" s="18">
        <f>6322.55+1813.3-879.15</f>
        <v>7256.7000000000007</v>
      </c>
      <c r="J276" s="18">
        <v>5813.79</v>
      </c>
      <c r="K276" s="18">
        <v>0</v>
      </c>
      <c r="L276" s="19">
        <f>SUM(F276:K276)</f>
        <v>31635.55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2896.92+4110+43430.36+4603+5294.5+435+1000+3000+13376.4</f>
        <v>78146.179999999993</v>
      </c>
      <c r="G277" s="18">
        <f>749.45+74.49+173.6</f>
        <v>997.54000000000008</v>
      </c>
      <c r="H277" s="18">
        <f>1263.08</f>
        <v>1263.08</v>
      </c>
      <c r="I277" s="18">
        <f>846+44.85+2000</f>
        <v>2890.85</v>
      </c>
      <c r="J277" s="18"/>
      <c r="K277" s="18">
        <v>25</v>
      </c>
      <c r="L277" s="19">
        <f>SUM(F277:K277)</f>
        <v>83322.649999999994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12000</v>
      </c>
      <c r="G281" s="18">
        <v>6000</v>
      </c>
      <c r="H281" s="18">
        <f>2400+4733.98+3801</f>
        <v>10934.98</v>
      </c>
      <c r="I281" s="18"/>
      <c r="J281" s="18"/>
      <c r="K281" s="18"/>
      <c r="L281" s="19">
        <f t="shared" ref="L281:L287" si="12">SUM(F281:K281)</f>
        <v>28934.98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>
        <v>5268</v>
      </c>
      <c r="K288" s="18"/>
      <c r="L288" s="19">
        <f>SUM(F288:K288)</f>
        <v>5268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101946.18</v>
      </c>
      <c r="G290" s="42">
        <f t="shared" si="13"/>
        <v>7152.93</v>
      </c>
      <c r="H290" s="42">
        <f t="shared" si="13"/>
        <v>18807.73</v>
      </c>
      <c r="I290" s="42">
        <f t="shared" si="13"/>
        <v>10147.550000000001</v>
      </c>
      <c r="J290" s="42">
        <f t="shared" si="13"/>
        <v>11081.79</v>
      </c>
      <c r="K290" s="42">
        <f t="shared" si="13"/>
        <v>25</v>
      </c>
      <c r="L290" s="41">
        <f t="shared" si="13"/>
        <v>149161.18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>
        <f>700+853.79</f>
        <v>1553.79</v>
      </c>
      <c r="I315" s="18"/>
      <c r="J315" s="18"/>
      <c r="K315" s="18"/>
      <c r="L315" s="19">
        <f>SUM(F315:K315)</f>
        <v>1553.79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f>600+3116.99+1183.5+950.25</f>
        <v>5850.74</v>
      </c>
      <c r="I319" s="18"/>
      <c r="J319" s="18"/>
      <c r="K319" s="18"/>
      <c r="L319" s="19">
        <f t="shared" ref="L319:L325" si="16">SUM(F319:K319)</f>
        <v>5850.74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7404.53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7404.53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101946.18</v>
      </c>
      <c r="G338" s="41">
        <f t="shared" si="20"/>
        <v>7152.93</v>
      </c>
      <c r="H338" s="41">
        <f t="shared" si="20"/>
        <v>26212.26</v>
      </c>
      <c r="I338" s="41">
        <f t="shared" si="20"/>
        <v>10147.550000000001</v>
      </c>
      <c r="J338" s="41">
        <f t="shared" si="20"/>
        <v>11081.79</v>
      </c>
      <c r="K338" s="41">
        <f t="shared" si="20"/>
        <v>25</v>
      </c>
      <c r="L338" s="41">
        <f t="shared" si="20"/>
        <v>156565.71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101946.18</v>
      </c>
      <c r="G352" s="41">
        <f>G338</f>
        <v>7152.93</v>
      </c>
      <c r="H352" s="41">
        <f>H338</f>
        <v>26212.26</v>
      </c>
      <c r="I352" s="41">
        <f>I338</f>
        <v>10147.550000000001</v>
      </c>
      <c r="J352" s="41">
        <f>J338</f>
        <v>11081.79</v>
      </c>
      <c r="K352" s="47">
        <f>K338+K351</f>
        <v>25</v>
      </c>
      <c r="L352" s="41">
        <f>L338+L351</f>
        <v>156565.71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63427.21</v>
      </c>
      <c r="G358" s="18">
        <f>20332.82+1135.1+54+101.04+4281.43+4044.48+284.18+371.45</f>
        <v>30604.5</v>
      </c>
      <c r="H358" s="18">
        <f>1886.62+608.82</f>
        <v>2495.44</v>
      </c>
      <c r="I358" s="18">
        <f>4760.51+1685.43+60513.2+1050+9770.12+891.7</f>
        <v>78670.959999999992</v>
      </c>
      <c r="J358" s="18">
        <v>5665</v>
      </c>
      <c r="K358" s="18">
        <v>546.48</v>
      </c>
      <c r="L358" s="13">
        <f>SUM(F358:K358)</f>
        <v>181409.59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63427.21</v>
      </c>
      <c r="G362" s="47">
        <f t="shared" si="22"/>
        <v>30604.5</v>
      </c>
      <c r="H362" s="47">
        <f t="shared" si="22"/>
        <v>2495.44</v>
      </c>
      <c r="I362" s="47">
        <f t="shared" si="22"/>
        <v>78670.959999999992</v>
      </c>
      <c r="J362" s="47">
        <f t="shared" si="22"/>
        <v>5665</v>
      </c>
      <c r="K362" s="47">
        <f t="shared" si="22"/>
        <v>546.48</v>
      </c>
      <c r="L362" s="47">
        <f t="shared" si="22"/>
        <v>181409.59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60513.2+1050+9770.12</f>
        <v>71333.319999999992</v>
      </c>
      <c r="G367" s="18"/>
      <c r="H367" s="18"/>
      <c r="I367" s="56">
        <f>SUM(F367:H367)</f>
        <v>71333.319999999992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78670.96-71333.32</f>
        <v>7337.6399999999994</v>
      </c>
      <c r="G368" s="63"/>
      <c r="H368" s="63"/>
      <c r="I368" s="56">
        <f>SUM(F368:H368)</f>
        <v>7337.6399999999994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78670.959999999992</v>
      </c>
      <c r="G369" s="47">
        <f>SUM(G367:G368)</f>
        <v>0</v>
      </c>
      <c r="H369" s="47">
        <f>SUM(H367:H368)</f>
        <v>0</v>
      </c>
      <c r="I369" s="47">
        <f>SUM(I367:I368)</f>
        <v>78670.959999999992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0</v>
      </c>
      <c r="H392" s="18">
        <v>0</v>
      </c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4526.16</v>
      </c>
      <c r="I396" s="18"/>
      <c r="J396" s="24" t="s">
        <v>286</v>
      </c>
      <c r="K396" s="24" t="s">
        <v>286</v>
      </c>
      <c r="L396" s="56">
        <f t="shared" si="26"/>
        <v>4526.16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v>2555.15</v>
      </c>
      <c r="I397" s="18"/>
      <c r="J397" s="24" t="s">
        <v>286</v>
      </c>
      <c r="K397" s="24" t="s">
        <v>286</v>
      </c>
      <c r="L397" s="56">
        <f t="shared" si="26"/>
        <v>27555.15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0</v>
      </c>
      <c r="H400" s="18">
        <v>0</v>
      </c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7081.3099999999995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32081.31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7081.3099999999995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32081.31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f>304027.17+7081.31</f>
        <v>311108.47999999998</v>
      </c>
      <c r="H442" s="18"/>
      <c r="I442" s="56">
        <f t="shared" si="33"/>
        <v>311108.47999999998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311108.47999999998</v>
      </c>
      <c r="H446" s="13">
        <f>SUM(H439:H445)</f>
        <v>0</v>
      </c>
      <c r="I446" s="13">
        <f>SUM(I439:I445)</f>
        <v>311108.47999999998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311108.47999999998</v>
      </c>
      <c r="H459" s="18"/>
      <c r="I459" s="56">
        <f t="shared" si="34"/>
        <v>311108.47999999998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311108.47999999998</v>
      </c>
      <c r="H460" s="83">
        <f>SUM(H454:H459)</f>
        <v>0</v>
      </c>
      <c r="I460" s="83">
        <f>SUM(I454:I459)</f>
        <v>311108.47999999998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311108.47999999998</v>
      </c>
      <c r="H461" s="42">
        <f>H452+H460</f>
        <v>0</v>
      </c>
      <c r="I461" s="42">
        <f>I452+I460</f>
        <v>311108.47999999998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751754.19</v>
      </c>
      <c r="G465" s="18">
        <v>17130.84</v>
      </c>
      <c r="H465" s="18">
        <v>0</v>
      </c>
      <c r="I465" s="18"/>
      <c r="J465" s="18">
        <v>279027.17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11777349.369999999</v>
      </c>
      <c r="G468" s="18">
        <v>180880.35</v>
      </c>
      <c r="H468" s="18">
        <v>157444.85999999999</v>
      </c>
      <c r="I468" s="18">
        <v>0</v>
      </c>
      <c r="J468" s="18">
        <f>7081.31+25000</f>
        <v>32081.31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>
        <v>0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11777349.369999999</v>
      </c>
      <c r="G470" s="53">
        <f>SUM(G468:G469)</f>
        <v>180880.35</v>
      </c>
      <c r="H470" s="53">
        <f>SUM(H468:H469)</f>
        <v>157444.85999999999</v>
      </c>
      <c r="I470" s="53">
        <f>SUM(I468:I469)</f>
        <v>0</v>
      </c>
      <c r="J470" s="53">
        <f>SUM(J468:J469)</f>
        <v>32081.31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11756518.42</v>
      </c>
      <c r="G472" s="18">
        <v>181409.59</v>
      </c>
      <c r="H472" s="18">
        <f>157444.86-879.15</f>
        <v>156565.71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11756518.42</v>
      </c>
      <c r="G474" s="53">
        <f>SUM(G472:G473)</f>
        <v>181409.59</v>
      </c>
      <c r="H474" s="53">
        <f>SUM(H472:H473)</f>
        <v>156565.71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772585.13999999873</v>
      </c>
      <c r="G476" s="53">
        <f>(G465+G470)- G474</f>
        <v>16601.600000000006</v>
      </c>
      <c r="H476" s="53">
        <f>(H465+H470)- H474</f>
        <v>879.14999999999418</v>
      </c>
      <c r="I476" s="53">
        <f>(I465+I470)- I474</f>
        <v>0</v>
      </c>
      <c r="J476" s="53">
        <f>(J465+J470)- J474</f>
        <v>311108.47999999998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4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2076000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1.24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f>545000</f>
        <v>545000</v>
      </c>
      <c r="G495" s="18"/>
      <c r="H495" s="18"/>
      <c r="I495" s="18"/>
      <c r="J495" s="18"/>
      <c r="K495" s="53">
        <f>SUM(F495:J495)</f>
        <v>545000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285000</v>
      </c>
      <c r="G497" s="18"/>
      <c r="H497" s="18"/>
      <c r="I497" s="18"/>
      <c r="J497" s="18"/>
      <c r="K497" s="53">
        <f t="shared" si="35"/>
        <v>285000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545000-285000</f>
        <v>260000</v>
      </c>
      <c r="G498" s="204"/>
      <c r="H498" s="204"/>
      <c r="I498" s="204"/>
      <c r="J498" s="204"/>
      <c r="K498" s="205">
        <f t="shared" si="35"/>
        <v>260000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3900</v>
      </c>
      <c r="G499" s="18"/>
      <c r="H499" s="18"/>
      <c r="I499" s="18"/>
      <c r="J499" s="18"/>
      <c r="K499" s="53">
        <f t="shared" si="35"/>
        <v>3900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263900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263900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260000</v>
      </c>
      <c r="G501" s="204"/>
      <c r="H501" s="204"/>
      <c r="I501" s="204"/>
      <c r="J501" s="204"/>
      <c r="K501" s="205">
        <f t="shared" si="35"/>
        <v>260000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3900</v>
      </c>
      <c r="G502" s="18"/>
      <c r="H502" s="18"/>
      <c r="I502" s="18"/>
      <c r="J502" s="18"/>
      <c r="K502" s="53">
        <f t="shared" si="35"/>
        <v>3900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263900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263900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22309.16</v>
      </c>
      <c r="G507" s="144">
        <v>21172.58</v>
      </c>
      <c r="H507" s="144">
        <v>384.98</v>
      </c>
      <c r="I507" s="144">
        <v>43096.76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585459.49+3000+13376.4+1000+5294.5+2896.92+4110+43430.36+4603+435</f>
        <v>663605.67000000004</v>
      </c>
      <c r="G521" s="18">
        <f>242681.49+749.45+74.49+173.6</f>
        <v>243679.03</v>
      </c>
      <c r="H521" s="18">
        <f>300+1263.08</f>
        <v>1563.08</v>
      </c>
      <c r="I521" s="18">
        <f>3333.24+846+44.85+2000</f>
        <v>6224.09</v>
      </c>
      <c r="J521" s="18">
        <v>506.43</v>
      </c>
      <c r="K521" s="18">
        <v>25</v>
      </c>
      <c r="L521" s="88">
        <f>SUM(F521:K521)</f>
        <v>915603.3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853.79+700+778703.21</f>
        <v>780257</v>
      </c>
      <c r="I523" s="18"/>
      <c r="J523" s="18"/>
      <c r="K523" s="18"/>
      <c r="L523" s="88">
        <f>SUM(F523:K523)</f>
        <v>780257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663605.67000000004</v>
      </c>
      <c r="G524" s="108">
        <f t="shared" ref="G524:L524" si="36">SUM(G521:G523)</f>
        <v>243679.03</v>
      </c>
      <c r="H524" s="108">
        <f t="shared" si="36"/>
        <v>781820.08</v>
      </c>
      <c r="I524" s="108">
        <f t="shared" si="36"/>
        <v>6224.09</v>
      </c>
      <c r="J524" s="108">
        <f t="shared" si="36"/>
        <v>506.43</v>
      </c>
      <c r="K524" s="108">
        <f t="shared" si="36"/>
        <v>25</v>
      </c>
      <c r="L524" s="89">
        <f t="shared" si="36"/>
        <v>1695860.3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12000+55645+556.45+34945+469.45</f>
        <v>103615.9</v>
      </c>
      <c r="G526" s="18">
        <f>6000+1661.2+388+75+156.72+4375.04+42.57+9660+74.89+219.65+2.19+562.39+5.63+14302.66+1135.26+70.56+133.32+3173.56+35.92+8149.56+74.89+248.43+2.48</f>
        <v>50549.919999999998</v>
      </c>
      <c r="H526" s="18">
        <f>2400+3801+4733.98+12401+112187.17+907.39+7587.25+2400</f>
        <v>146417.79</v>
      </c>
      <c r="I526" s="18">
        <f>58.53+766.93+612.73+1348.52+427.68+613.8</f>
        <v>3828.1899999999996</v>
      </c>
      <c r="J526" s="18">
        <f>360+54.85+212.24+251.11+69.99</f>
        <v>948.19</v>
      </c>
      <c r="K526" s="18"/>
      <c r="L526" s="88">
        <f>SUM(F526:K526)</f>
        <v>305359.99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f>600+3116.99+950.25+1183.5+3100.25+17091</f>
        <v>26041.989999999998</v>
      </c>
      <c r="I528" s="18"/>
      <c r="J528" s="18"/>
      <c r="K528" s="18"/>
      <c r="L528" s="88">
        <f>SUM(F528:K528)</f>
        <v>26041.989999999998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103615.9</v>
      </c>
      <c r="G529" s="89">
        <f t="shared" ref="G529:L529" si="37">SUM(G526:G528)</f>
        <v>50549.919999999998</v>
      </c>
      <c r="H529" s="89">
        <f t="shared" si="37"/>
        <v>172459.78</v>
      </c>
      <c r="I529" s="89">
        <f t="shared" si="37"/>
        <v>3828.1899999999996</v>
      </c>
      <c r="J529" s="89">
        <f t="shared" si="37"/>
        <v>948.19</v>
      </c>
      <c r="K529" s="89">
        <f t="shared" si="37"/>
        <v>0</v>
      </c>
      <c r="L529" s="89">
        <f t="shared" si="37"/>
        <v>331401.98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84847+35812.85-21211.75</f>
        <v>99448.1</v>
      </c>
      <c r="G531" s="18">
        <f>20302.66+1600.86+75+232.56+8806.1+3990.16+14729.42+149.78+626.72+422-5075.67-283.8-76.89-1212.7-3682.36</f>
        <v>40603.839999999997</v>
      </c>
      <c r="H531" s="18">
        <f>1571.31+249.25+497.07</f>
        <v>2317.63</v>
      </c>
      <c r="I531" s="18">
        <f>535.83+564</f>
        <v>1099.83</v>
      </c>
      <c r="J531" s="18">
        <f>2094.99</f>
        <v>2094.9899999999998</v>
      </c>
      <c r="K531" s="18">
        <v>150</v>
      </c>
      <c r="L531" s="88">
        <f>SUM(F531:K531)</f>
        <v>145714.38999999998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21211.75</v>
      </c>
      <c r="G533" s="18">
        <f>5075.67+283.8+76.89+1212.7+3682.36</f>
        <v>10331.42</v>
      </c>
      <c r="H533" s="18">
        <v>4724.33</v>
      </c>
      <c r="I533" s="18"/>
      <c r="J533" s="18"/>
      <c r="K533" s="18"/>
      <c r="L533" s="88">
        <f>SUM(F533:K533)</f>
        <v>36267.5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120659.85</v>
      </c>
      <c r="G534" s="89">
        <f t="shared" ref="G534:L534" si="38">SUM(G531:G533)</f>
        <v>50935.259999999995</v>
      </c>
      <c r="H534" s="89">
        <f t="shared" si="38"/>
        <v>7041.96</v>
      </c>
      <c r="I534" s="89">
        <f t="shared" si="38"/>
        <v>1099.83</v>
      </c>
      <c r="J534" s="89">
        <f t="shared" si="38"/>
        <v>2094.9899999999998</v>
      </c>
      <c r="K534" s="89">
        <f t="shared" si="38"/>
        <v>150</v>
      </c>
      <c r="L534" s="89">
        <f t="shared" si="38"/>
        <v>181981.88999999998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37440</v>
      </c>
      <c r="I541" s="18"/>
      <c r="J541" s="18"/>
      <c r="K541" s="18"/>
      <c r="L541" s="88">
        <f>SUM(F541:K541)</f>
        <v>37440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120769.84</v>
      </c>
      <c r="I543" s="18"/>
      <c r="J543" s="18"/>
      <c r="K543" s="18"/>
      <c r="L543" s="88">
        <f>SUM(F543:K543)</f>
        <v>120769.84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158209.84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158209.84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887881.42</v>
      </c>
      <c r="G545" s="89">
        <f t="shared" ref="G545:L545" si="41">G524+G529+G534+G539+G544</f>
        <v>345164.21</v>
      </c>
      <c r="H545" s="89">
        <f t="shared" si="41"/>
        <v>1119531.6599999999</v>
      </c>
      <c r="I545" s="89">
        <f t="shared" si="41"/>
        <v>11152.109999999999</v>
      </c>
      <c r="J545" s="89">
        <f t="shared" si="41"/>
        <v>3549.6099999999997</v>
      </c>
      <c r="K545" s="89">
        <f t="shared" si="41"/>
        <v>175</v>
      </c>
      <c r="L545" s="89">
        <f t="shared" si="41"/>
        <v>2367454.0099999998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915603.3</v>
      </c>
      <c r="G549" s="87">
        <f>L526</f>
        <v>305359.99</v>
      </c>
      <c r="H549" s="87">
        <f>L531</f>
        <v>145714.38999999998</v>
      </c>
      <c r="I549" s="87">
        <f>L536</f>
        <v>0</v>
      </c>
      <c r="J549" s="87">
        <f>L541</f>
        <v>37440</v>
      </c>
      <c r="K549" s="87">
        <f>SUM(F549:J549)</f>
        <v>1404117.68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780257</v>
      </c>
      <c r="G551" s="87">
        <f>L528</f>
        <v>26041.989999999998</v>
      </c>
      <c r="H551" s="87">
        <f>L533</f>
        <v>36267.5</v>
      </c>
      <c r="I551" s="87">
        <f>L538</f>
        <v>0</v>
      </c>
      <c r="J551" s="87">
        <f>L543</f>
        <v>120769.84</v>
      </c>
      <c r="K551" s="87">
        <f>SUM(F551:J551)</f>
        <v>963336.33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1695860.3</v>
      </c>
      <c r="G552" s="89">
        <f t="shared" si="42"/>
        <v>331401.98</v>
      </c>
      <c r="H552" s="89">
        <f t="shared" si="42"/>
        <v>181981.88999999998</v>
      </c>
      <c r="I552" s="89">
        <f t="shared" si="42"/>
        <v>0</v>
      </c>
      <c r="J552" s="89">
        <f t="shared" si="42"/>
        <v>158209.84</v>
      </c>
      <c r="K552" s="89">
        <f t="shared" si="42"/>
        <v>2367454.0099999998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375</v>
      </c>
      <c r="G562" s="18">
        <f>28.69+65.1</f>
        <v>93.789999999999992</v>
      </c>
      <c r="H562" s="18"/>
      <c r="I562" s="18"/>
      <c r="J562" s="18"/>
      <c r="K562" s="18"/>
      <c r="L562" s="88">
        <f>SUM(F562:K562)</f>
        <v>468.78999999999996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375</v>
      </c>
      <c r="G565" s="89">
        <f t="shared" si="44"/>
        <v>93.789999999999992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468.78999999999996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375</v>
      </c>
      <c r="G571" s="89">
        <f t="shared" ref="G571:L571" si="46">G560+G565+G570</f>
        <v>93.789999999999992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468.78999999999996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3758578.41</v>
      </c>
      <c r="I577" s="87">
        <f t="shared" si="47"/>
        <v>3758578.41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388633.42</v>
      </c>
      <c r="I581" s="87">
        <f t="shared" si="47"/>
        <v>388633.42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212025.86</v>
      </c>
      <c r="I582" s="87">
        <f t="shared" si="47"/>
        <v>212025.86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246725.75</v>
      </c>
      <c r="I591" s="18"/>
      <c r="J591" s="18">
        <v>185043.85</v>
      </c>
      <c r="K591" s="104">
        <f t="shared" ref="K591:K597" si="48">SUM(H591:J591)</f>
        <v>431769.59999999998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37440</v>
      </c>
      <c r="I592" s="18"/>
      <c r="J592" s="18">
        <v>120769.84</v>
      </c>
      <c r="K592" s="104">
        <f t="shared" si="48"/>
        <v>158209.84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10772.85</v>
      </c>
      <c r="I594" s="18"/>
      <c r="J594" s="18"/>
      <c r="K594" s="104">
        <f t="shared" si="48"/>
        <v>10772.85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2749.4</v>
      </c>
      <c r="I595" s="18"/>
      <c r="J595" s="18"/>
      <c r="K595" s="104">
        <f t="shared" si="48"/>
        <v>2749.4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2665</v>
      </c>
      <c r="I596" s="18"/>
      <c r="J596" s="18"/>
      <c r="K596" s="104">
        <f t="shared" si="48"/>
        <v>2665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300353</v>
      </c>
      <c r="I598" s="108">
        <f>SUM(I591:I597)</f>
        <v>0</v>
      </c>
      <c r="J598" s="108">
        <f>SUM(J591:J597)</f>
        <v>305813.69</v>
      </c>
      <c r="K598" s="108">
        <f>SUM(K591:K597)</f>
        <v>606166.68999999994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5813.79+5268+652.02+3284.43+3334.79+69.99+436.44+5924.6+2234.98+360+69.99+54.85+212.24+251.11+1295.9+3158+3748.97+115992.48+5894+5713+375+73.59+410+2094.99+4675.44+5760+947.54+1439.99+5194.13</f>
        <v>184740.26</v>
      </c>
      <c r="I604" s="18"/>
      <c r="J604" s="18"/>
      <c r="K604" s="104">
        <f>SUM(H604:J604)</f>
        <v>184740.26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184740.26</v>
      </c>
      <c r="I605" s="108">
        <f>SUM(I602:I604)</f>
        <v>0</v>
      </c>
      <c r="J605" s="108">
        <f>SUM(J602:J604)</f>
        <v>0</v>
      </c>
      <c r="K605" s="108">
        <f>SUM(K602:K604)</f>
        <v>184740.26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927917.71</v>
      </c>
      <c r="H617" s="109">
        <f>SUM(F52)</f>
        <v>927917.71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61479.69</v>
      </c>
      <c r="H618" s="109">
        <f>SUM(G52)</f>
        <v>61479.689999999995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10080.16</v>
      </c>
      <c r="H619" s="109">
        <f>SUM(H52)</f>
        <v>10080.16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311108.47999999998</v>
      </c>
      <c r="H621" s="109">
        <f>SUM(J52)</f>
        <v>311108.47999999998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772585.14</v>
      </c>
      <c r="H622" s="109">
        <f>F476</f>
        <v>772585.13999999873</v>
      </c>
      <c r="I622" s="121" t="s">
        <v>101</v>
      </c>
      <c r="J622" s="109">
        <f t="shared" ref="J622:J655" si="50">G622-H622</f>
        <v>1.280568540096283E-9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16601.599999999999</v>
      </c>
      <c r="H623" s="109">
        <f>G476</f>
        <v>16601.600000000006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879.15</v>
      </c>
      <c r="H624" s="109">
        <f>H476</f>
        <v>879.14999999999418</v>
      </c>
      <c r="I624" s="121" t="s">
        <v>103</v>
      </c>
      <c r="J624" s="109">
        <f t="shared" si="50"/>
        <v>5.7980287238024175E-12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311108.47999999998</v>
      </c>
      <c r="H626" s="109">
        <f>J476</f>
        <v>311108.47999999998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11777349.370000001</v>
      </c>
      <c r="H627" s="104">
        <f>SUM(F468)</f>
        <v>11777349.369999999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180880.35000000003</v>
      </c>
      <c r="H628" s="104">
        <f>SUM(G468)</f>
        <v>180880.35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157444.85999999999</v>
      </c>
      <c r="H629" s="104">
        <f>SUM(H468)</f>
        <v>157444.85999999999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32081.31</v>
      </c>
      <c r="H631" s="104">
        <f>SUM(J468)</f>
        <v>32081.31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11756518.420000002</v>
      </c>
      <c r="H632" s="104">
        <f>SUM(F472)</f>
        <v>11756518.42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156565.71</v>
      </c>
      <c r="H633" s="104">
        <f>SUM(H472)</f>
        <v>156565.71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78670.959999999992</v>
      </c>
      <c r="H634" s="104">
        <f>I369</f>
        <v>78670.959999999992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181409.59</v>
      </c>
      <c r="H635" s="104">
        <f>SUM(G472)</f>
        <v>181409.59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32081.31</v>
      </c>
      <c r="H637" s="164">
        <f>SUM(J468)</f>
        <v>32081.31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311108.47999999998</v>
      </c>
      <c r="H640" s="104">
        <f>SUM(G461)</f>
        <v>311108.47999999998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311108.47999999998</v>
      </c>
      <c r="H642" s="104">
        <f>SUM(I461)</f>
        <v>311108.47999999998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7081.31</v>
      </c>
      <c r="H644" s="104">
        <f>H408</f>
        <v>7081.3099999999995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25000</v>
      </c>
      <c r="H645" s="104">
        <f>G408</f>
        <v>25000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32081.31</v>
      </c>
      <c r="H646" s="104">
        <f>L408</f>
        <v>32081.31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606166.68999999994</v>
      </c>
      <c r="H647" s="104">
        <f>L208+L226+L244</f>
        <v>606166.68999999994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184740.26</v>
      </c>
      <c r="H648" s="104">
        <f>(J257+J338)-(J255+J336)</f>
        <v>184740.26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300353</v>
      </c>
      <c r="H649" s="104">
        <f>H598</f>
        <v>300353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305813.69</v>
      </c>
      <c r="H651" s="104">
        <f>J598</f>
        <v>305813.69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25000</v>
      </c>
      <c r="H655" s="104">
        <f>K266+K347</f>
        <v>25000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6865460.1299999999</v>
      </c>
      <c r="G660" s="19">
        <f>(L229+L309+L359)</f>
        <v>0</v>
      </c>
      <c r="H660" s="19">
        <f>(L247+L328+L360)</f>
        <v>4906958.5900000008</v>
      </c>
      <c r="I660" s="19">
        <f>SUM(F660:H660)</f>
        <v>11772418.720000001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138077.04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138077.04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300353</v>
      </c>
      <c r="G662" s="19">
        <f>(L226+L306)-(J226+J306)</f>
        <v>0</v>
      </c>
      <c r="H662" s="19">
        <f>(L244+L325)-(J244+J325)</f>
        <v>305813.69</v>
      </c>
      <c r="I662" s="19">
        <f>SUM(F662:H662)</f>
        <v>606166.68999999994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184740.26</v>
      </c>
      <c r="G663" s="199">
        <f>SUM(G575:G587)+SUM(I602:I604)+L612</f>
        <v>0</v>
      </c>
      <c r="H663" s="199">
        <f>SUM(H575:H587)+SUM(J602:J604)+L613</f>
        <v>4359237.6900000004</v>
      </c>
      <c r="I663" s="19">
        <f>SUM(F663:H663)</f>
        <v>4543977.95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6242289.8300000001</v>
      </c>
      <c r="G664" s="19">
        <f>G660-SUM(G661:G663)</f>
        <v>0</v>
      </c>
      <c r="H664" s="19">
        <f>H660-SUM(H661:H663)</f>
        <v>241907.20999999996</v>
      </c>
      <c r="I664" s="19">
        <f>I660-SUM(I661:I663)</f>
        <v>6484197.040000001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481.08</v>
      </c>
      <c r="G665" s="248"/>
      <c r="H665" s="248"/>
      <c r="I665" s="19">
        <f>SUM(F665:H665)</f>
        <v>481.08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12975.58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13478.42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-241907.21</v>
      </c>
      <c r="I669" s="19">
        <f>SUM(F669:H669)</f>
        <v>-241907.21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12975.58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12975.58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B62" sqref="B6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Chester School District SAU 82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1933220.43</v>
      </c>
      <c r="C9" s="229">
        <f>'DOE25'!G197+'DOE25'!G215+'DOE25'!G233+'DOE25'!G276+'DOE25'!G295+'DOE25'!G314</f>
        <v>884251.13</v>
      </c>
    </row>
    <row r="10" spans="1:3" x14ac:dyDescent="0.2">
      <c r="A10" t="s">
        <v>773</v>
      </c>
      <c r="B10" s="240">
        <f>10800+1821372.88+18694.95+1000</f>
        <v>1851867.8299999998</v>
      </c>
      <c r="C10" s="240">
        <f>877872.27+155.39</f>
        <v>878027.66</v>
      </c>
    </row>
    <row r="11" spans="1:3" x14ac:dyDescent="0.2">
      <c r="A11" t="s">
        <v>774</v>
      </c>
      <c r="B11" s="240">
        <f>25030.25+4644</f>
        <v>29674.25</v>
      </c>
      <c r="C11" s="240">
        <v>2270.08</v>
      </c>
    </row>
    <row r="12" spans="1:3" x14ac:dyDescent="0.2">
      <c r="A12" t="s">
        <v>775</v>
      </c>
      <c r="B12" s="240">
        <f>44118.35+7560</f>
        <v>51678.35</v>
      </c>
      <c r="C12" s="240">
        <v>3953.39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1933220.43</v>
      </c>
      <c r="C13" s="231">
        <f>SUM(C10:C12)</f>
        <v>884251.13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663605.66999999993</v>
      </c>
      <c r="C18" s="229">
        <f>'DOE25'!G198+'DOE25'!G216+'DOE25'!G234+'DOE25'!G277+'DOE25'!G296+'DOE25'!G315</f>
        <v>243679.02999999997</v>
      </c>
    </row>
    <row r="19" spans="1:3" x14ac:dyDescent="0.2">
      <c r="A19" t="s">
        <v>773</v>
      </c>
      <c r="B19" s="240">
        <f>303413.93+3136.92+13376.4+3000+1000+1052.5+2425+1635+780.5</f>
        <v>329820.25</v>
      </c>
      <c r="C19" s="240">
        <v>196956.95</v>
      </c>
    </row>
    <row r="20" spans="1:3" x14ac:dyDescent="0.2">
      <c r="A20" t="s">
        <v>774</v>
      </c>
      <c r="B20" s="240">
        <f>278708.64+200+435+2896.92+4110+43430.36+3026.5+2178-1635+435</f>
        <v>333785.42</v>
      </c>
      <c r="C20" s="240">
        <f>25534.58+21187.5</f>
        <v>46722.080000000002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663605.66999999993</v>
      </c>
      <c r="C22" s="231">
        <f>SUM(C19:C21)</f>
        <v>243679.03000000003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59823.29</v>
      </c>
      <c r="C36" s="235">
        <f>'DOE25'!G200+'DOE25'!G218+'DOE25'!G236+'DOE25'!G279+'DOE25'!G298+'DOE25'!G317</f>
        <v>13299.16</v>
      </c>
    </row>
    <row r="37" spans="1:3" x14ac:dyDescent="0.2">
      <c r="A37" t="s">
        <v>773</v>
      </c>
      <c r="B37" s="240">
        <v>54773.34</v>
      </c>
      <c r="C37" s="240">
        <v>12851.27</v>
      </c>
    </row>
    <row r="38" spans="1:3" x14ac:dyDescent="0.2">
      <c r="A38" t="s">
        <v>774</v>
      </c>
      <c r="B38" s="240">
        <f>721.42+360.71+1442.84</f>
        <v>2524.9699999999998</v>
      </c>
      <c r="C38" s="240">
        <v>193.16</v>
      </c>
    </row>
    <row r="39" spans="1:3" x14ac:dyDescent="0.2">
      <c r="A39" t="s">
        <v>775</v>
      </c>
      <c r="B39" s="240">
        <f>1983.91+541.07</f>
        <v>2524.98</v>
      </c>
      <c r="C39" s="240">
        <f>61.57+193.16</f>
        <v>254.73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59823.29</v>
      </c>
      <c r="C40" s="231">
        <f>SUM(C37:C39)</f>
        <v>13299.16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J45" sqref="J4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Chester School District SAU 82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8375877.4000000004</v>
      </c>
      <c r="D5" s="20">
        <f>SUM('DOE25'!L197:L200)+SUM('DOE25'!L215:L218)+SUM('DOE25'!L233:L236)-F5-G5</f>
        <v>8361505.1300000008</v>
      </c>
      <c r="E5" s="243"/>
      <c r="F5" s="255">
        <f>SUM('DOE25'!J197:J200)+SUM('DOE25'!J215:J218)+SUM('DOE25'!J233:J236)</f>
        <v>13702.27</v>
      </c>
      <c r="G5" s="53">
        <f>SUM('DOE25'!K197:K200)+SUM('DOE25'!K215:K218)+SUM('DOE25'!K233:K236)</f>
        <v>670</v>
      </c>
      <c r="H5" s="259"/>
    </row>
    <row r="6" spans="1:9" x14ac:dyDescent="0.2">
      <c r="A6" s="32">
        <v>2100</v>
      </c>
      <c r="B6" t="s">
        <v>795</v>
      </c>
      <c r="C6" s="245">
        <f t="shared" si="0"/>
        <v>550817.38</v>
      </c>
      <c r="D6" s="20">
        <f>'DOE25'!L202+'DOE25'!L220+'DOE25'!L238-F6-G6</f>
        <v>547634.21</v>
      </c>
      <c r="E6" s="243"/>
      <c r="F6" s="255">
        <f>'DOE25'!J202+'DOE25'!J220+'DOE25'!J238</f>
        <v>3183.1699999999996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422787.66000000003</v>
      </c>
      <c r="D7" s="20">
        <f>'DOE25'!L203+'DOE25'!L221+'DOE25'!L239-F7-G7</f>
        <v>286610.31000000006</v>
      </c>
      <c r="E7" s="243"/>
      <c r="F7" s="255">
        <f>'DOE25'!J203+'DOE25'!J221+'DOE25'!J239</f>
        <v>136177.35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304187.60999999993</v>
      </c>
      <c r="D8" s="243"/>
      <c r="E8" s="20">
        <f>'DOE25'!L204+'DOE25'!L222+'DOE25'!L240-F8-G8-D9-D11</f>
        <v>293195.62999999989</v>
      </c>
      <c r="F8" s="255">
        <f>'DOE25'!J204+'DOE25'!J222+'DOE25'!J240</f>
        <v>2578.58</v>
      </c>
      <c r="G8" s="53">
        <f>'DOE25'!K204+'DOE25'!K222+'DOE25'!K240</f>
        <v>8413.4000000000015</v>
      </c>
      <c r="H8" s="259"/>
    </row>
    <row r="9" spans="1:9" x14ac:dyDescent="0.2">
      <c r="A9" s="32">
        <v>2310</v>
      </c>
      <c r="B9" t="s">
        <v>812</v>
      </c>
      <c r="C9" s="245">
        <f t="shared" si="0"/>
        <v>42573.98</v>
      </c>
      <c r="D9" s="244">
        <v>42573.98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13000</v>
      </c>
      <c r="D10" s="243"/>
      <c r="E10" s="244">
        <v>13000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152717.66000000006</v>
      </c>
      <c r="D11" s="244">
        <f>90500+6923.25+465.6+322.32+18187.13+12580+84+60.7+10166.4+6777.6+1135.17+2069.7+1431.6+1184.71+829.48</f>
        <v>152717.66000000006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421292.70999999996</v>
      </c>
      <c r="D12" s="20">
        <f>'DOE25'!L205+'DOE25'!L223+'DOE25'!L241-F12-G12</f>
        <v>408065.54</v>
      </c>
      <c r="E12" s="243"/>
      <c r="F12" s="255">
        <f>'DOE25'!J205+'DOE25'!J223+'DOE25'!J241</f>
        <v>11382.98</v>
      </c>
      <c r="G12" s="53">
        <f>'DOE25'!K205+'DOE25'!K223+'DOE25'!K241</f>
        <v>1844.19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558022.32999999996</v>
      </c>
      <c r="D14" s="20">
        <f>'DOE25'!L207+'DOE25'!L225+'DOE25'!L243-F14-G14</f>
        <v>551388.21</v>
      </c>
      <c r="E14" s="243"/>
      <c r="F14" s="255">
        <f>'DOE25'!J207+'DOE25'!J225+'DOE25'!J243</f>
        <v>6634.12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606166.68999999994</v>
      </c>
      <c r="D15" s="20">
        <f>'DOE25'!L208+'DOE25'!L226+'DOE25'!L244-F15-G15</f>
        <v>606166.68999999994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297075</v>
      </c>
      <c r="D25" s="243"/>
      <c r="E25" s="243"/>
      <c r="F25" s="258"/>
      <c r="G25" s="256"/>
      <c r="H25" s="257">
        <f>'DOE25'!L260+'DOE25'!L261+'DOE25'!L341+'DOE25'!L342</f>
        <v>297075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110076.27</v>
      </c>
      <c r="D29" s="20">
        <f>'DOE25'!L358+'DOE25'!L359+'DOE25'!L360-'DOE25'!I367-F29-G29</f>
        <v>103864.79000000001</v>
      </c>
      <c r="E29" s="243"/>
      <c r="F29" s="255">
        <f>'DOE25'!J358+'DOE25'!J359+'DOE25'!J360</f>
        <v>5665</v>
      </c>
      <c r="G29" s="53">
        <f>'DOE25'!K358+'DOE25'!K359+'DOE25'!K360</f>
        <v>546.48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156565.71</v>
      </c>
      <c r="D31" s="20">
        <f>'DOE25'!L290+'DOE25'!L309+'DOE25'!L328+'DOE25'!L333+'DOE25'!L334+'DOE25'!L335-F31-G31</f>
        <v>145458.91999999998</v>
      </c>
      <c r="E31" s="243"/>
      <c r="F31" s="255">
        <f>'DOE25'!J290+'DOE25'!J309+'DOE25'!J328+'DOE25'!J333+'DOE25'!J334+'DOE25'!J335</f>
        <v>11081.79</v>
      </c>
      <c r="G31" s="53">
        <f>'DOE25'!K290+'DOE25'!K309+'DOE25'!K328+'DOE25'!K333+'DOE25'!K334+'DOE25'!K335</f>
        <v>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11205985.439999998</v>
      </c>
      <c r="E33" s="246">
        <f>SUM(E5:E31)</f>
        <v>306195.62999999989</v>
      </c>
      <c r="F33" s="246">
        <f>SUM(F5:F31)</f>
        <v>190405.26</v>
      </c>
      <c r="G33" s="246">
        <f>SUM(G5:G31)</f>
        <v>11499.070000000002</v>
      </c>
      <c r="H33" s="246">
        <f>SUM(H5:H31)</f>
        <v>297075</v>
      </c>
    </row>
    <row r="35" spans="2:8" ht="12" thickBot="1" x14ac:dyDescent="0.25">
      <c r="B35" s="253" t="s">
        <v>841</v>
      </c>
      <c r="D35" s="254">
        <f>E33</f>
        <v>306195.62999999989</v>
      </c>
      <c r="E35" s="249"/>
    </row>
    <row r="36" spans="2:8" ht="12" thickTop="1" x14ac:dyDescent="0.2">
      <c r="B36" t="s">
        <v>809</v>
      </c>
      <c r="D36" s="20">
        <f>D33</f>
        <v>11205985.439999998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 School District SAU 82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846019.27999999991</v>
      </c>
      <c r="D8" s="95">
        <f>'DOE25'!G9</f>
        <v>57651.17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12586.77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60372.52</v>
      </c>
      <c r="D12" s="95">
        <f>'DOE25'!G13</f>
        <v>1268.19</v>
      </c>
      <c r="E12" s="95">
        <f>'DOE25'!H13</f>
        <v>10080.16</v>
      </c>
      <c r="F12" s="95">
        <f>'DOE25'!I13</f>
        <v>0</v>
      </c>
      <c r="G12" s="95">
        <f>'DOE25'!J13</f>
        <v>311108.47999999998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7492.14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1960.33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1447</v>
      </c>
      <c r="D16" s="95">
        <f>'DOE25'!G17</f>
        <v>600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927917.71</v>
      </c>
      <c r="D18" s="41">
        <f>SUM(D8:D17)</f>
        <v>61479.69</v>
      </c>
      <c r="E18" s="41">
        <f>SUM(E8:E17)</f>
        <v>10080.16</v>
      </c>
      <c r="F18" s="41">
        <f>SUM(F8:F17)</f>
        <v>0</v>
      </c>
      <c r="G18" s="41">
        <f>SUM(G8:G17)</f>
        <v>311108.47999999998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1553.9</v>
      </c>
      <c r="D21" s="95">
        <f>'DOE25'!G22</f>
        <v>39495.67</v>
      </c>
      <c r="E21" s="95">
        <f>'DOE25'!H22</f>
        <v>5803.81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125725.53</v>
      </c>
      <c r="D23" s="95">
        <f>'DOE25'!G24</f>
        <v>48.75</v>
      </c>
      <c r="E23" s="95">
        <f>'DOE25'!H24</f>
        <v>3397.2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15063.14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12990</v>
      </c>
      <c r="D29" s="95">
        <f>'DOE25'!G30</f>
        <v>5333.67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155332.57</v>
      </c>
      <c r="D31" s="41">
        <f>SUM(D21:D30)</f>
        <v>44878.09</v>
      </c>
      <c r="E31" s="41">
        <f>SUM(E21:E30)</f>
        <v>9201.01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1960.33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1447</v>
      </c>
      <c r="D35" s="95">
        <f>'DOE25'!G36</f>
        <v>600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6782.96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14041.27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219679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174.71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311108.47999999998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92047.44</v>
      </c>
      <c r="D48" s="95">
        <f>'DOE25'!G49</f>
        <v>0</v>
      </c>
      <c r="E48" s="95">
        <f>'DOE25'!H49</f>
        <v>879.15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427454.03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772585.14</v>
      </c>
      <c r="D50" s="41">
        <f>SUM(D34:D49)</f>
        <v>16601.599999999999</v>
      </c>
      <c r="E50" s="41">
        <f>SUM(E34:E49)</f>
        <v>879.15</v>
      </c>
      <c r="F50" s="41">
        <f>SUM(F34:F49)</f>
        <v>0</v>
      </c>
      <c r="G50" s="41">
        <f>SUM(G34:G49)</f>
        <v>311108.47999999998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927917.71</v>
      </c>
      <c r="D51" s="41">
        <f>D50+D31</f>
        <v>61479.689999999995</v>
      </c>
      <c r="E51" s="41">
        <f>E50+E31</f>
        <v>10080.16</v>
      </c>
      <c r="F51" s="41">
        <f>F50+F31</f>
        <v>0</v>
      </c>
      <c r="G51" s="41">
        <f>G50+G31</f>
        <v>311108.47999999998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7584909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58600.84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1499.89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7081.31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135124.20000000001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2574.77</v>
      </c>
      <c r="D61" s="95">
        <f>SUM('DOE25'!G98:G110)</f>
        <v>2952.84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62675.499999999993</v>
      </c>
      <c r="D62" s="130">
        <f>SUM(D57:D61)</f>
        <v>138077.04</v>
      </c>
      <c r="E62" s="130">
        <f>SUM(E57:E61)</f>
        <v>0</v>
      </c>
      <c r="F62" s="130">
        <f>SUM(F57:F61)</f>
        <v>0</v>
      </c>
      <c r="G62" s="130">
        <f>SUM(G57:G61)</f>
        <v>7081.31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7647584.5</v>
      </c>
      <c r="D63" s="22">
        <f>D56+D62</f>
        <v>138077.04</v>
      </c>
      <c r="E63" s="22">
        <f>E56+E62</f>
        <v>0</v>
      </c>
      <c r="F63" s="22">
        <f>F56+F62</f>
        <v>0</v>
      </c>
      <c r="G63" s="22">
        <f>G56+G62</f>
        <v>7081.31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2653831.63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1202253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10973.87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3867058.5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90000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63163.17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2385.42</v>
      </c>
      <c r="E77" s="95">
        <f>SUM('DOE25'!H131:H135)</f>
        <v>5268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153163.16999999998</v>
      </c>
      <c r="D78" s="130">
        <f>SUM(D72:D77)</f>
        <v>2385.42</v>
      </c>
      <c r="E78" s="130">
        <f>SUM(E72:E77)</f>
        <v>5268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4020221.67</v>
      </c>
      <c r="D81" s="130">
        <f>SUM(D79:D80)+D78+D70</f>
        <v>2385.42</v>
      </c>
      <c r="E81" s="130">
        <f>SUM(E79:E80)+E78+E70</f>
        <v>5268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21714.7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102760.24</v>
      </c>
      <c r="D88" s="95">
        <f>SUM('DOE25'!G153:G161)</f>
        <v>40417.89</v>
      </c>
      <c r="E88" s="95">
        <f>SUM('DOE25'!H153:H161)</f>
        <v>130462.16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102760.24</v>
      </c>
      <c r="D91" s="131">
        <f>SUM(D85:D90)</f>
        <v>40417.89</v>
      </c>
      <c r="E91" s="131">
        <f>SUM(E85:E90)</f>
        <v>152176.86000000002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6782.96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6782.96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759</v>
      </c>
      <c r="C104" s="86">
        <f>C63+C81+C91+C103</f>
        <v>11777349.370000001</v>
      </c>
      <c r="D104" s="86">
        <f>D63+D81+D91+D103</f>
        <v>180880.35000000003</v>
      </c>
      <c r="E104" s="86">
        <f>E63+E81+E91+E103</f>
        <v>157444.86000000002</v>
      </c>
      <c r="F104" s="86">
        <f>F63+F81+F91+F103</f>
        <v>0</v>
      </c>
      <c r="G104" s="86">
        <f>G63+G81+G103</f>
        <v>32081.31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6677624.5899999999</v>
      </c>
      <c r="D109" s="24" t="s">
        <v>286</v>
      </c>
      <c r="E109" s="95">
        <f>('DOE25'!L276)+('DOE25'!L295)+('DOE25'!L314)</f>
        <v>31635.55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1610983.8599999999</v>
      </c>
      <c r="D110" s="24" t="s">
        <v>286</v>
      </c>
      <c r="E110" s="95">
        <f>('DOE25'!L277)+('DOE25'!L296)+('DOE25'!L315)</f>
        <v>84876.439999999988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87268.95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8375877.3999999994</v>
      </c>
      <c r="D115" s="86">
        <f>SUM(D109:D114)</f>
        <v>0</v>
      </c>
      <c r="E115" s="86">
        <f>SUM(E109:E114)</f>
        <v>116511.98999999999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550817.38</v>
      </c>
      <c r="D118" s="24" t="s">
        <v>286</v>
      </c>
      <c r="E118" s="95">
        <f>+('DOE25'!L281)+('DOE25'!L300)+('DOE25'!L319)</f>
        <v>34785.72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422787.66000000003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499479.25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421292.70999999996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558022.32999999996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606166.68999999994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5268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181409.59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3058566.02</v>
      </c>
      <c r="D128" s="86">
        <f>SUM(D118:D127)</f>
        <v>181409.59</v>
      </c>
      <c r="E128" s="86">
        <f>SUM(E118:E127)</f>
        <v>40053.72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285000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12075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32081.31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-7081.3100000000013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322075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11756518.42</v>
      </c>
      <c r="D145" s="86">
        <f>(D115+D128+D144)</f>
        <v>181409.59</v>
      </c>
      <c r="E145" s="86">
        <f>(E115+E128+E144)</f>
        <v>156565.71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 xml:space="preserve"> 01/12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 xml:space="preserve"> 07/18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2076000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1.24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545000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285000</v>
      </c>
    </row>
    <row r="159" spans="1:9" x14ac:dyDescent="0.2">
      <c r="A159" s="22" t="s">
        <v>35</v>
      </c>
      <c r="B159" s="137">
        <f>'DOE25'!F498</f>
        <v>260000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260000</v>
      </c>
    </row>
    <row r="160" spans="1:9" x14ac:dyDescent="0.2">
      <c r="A160" s="22" t="s">
        <v>36</v>
      </c>
      <c r="B160" s="137">
        <f>'DOE25'!F499</f>
        <v>3900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3900</v>
      </c>
    </row>
    <row r="161" spans="1:7" x14ac:dyDescent="0.2">
      <c r="A161" s="22" t="s">
        <v>37</v>
      </c>
      <c r="B161" s="137">
        <f>'DOE25'!F500</f>
        <v>263900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263900</v>
      </c>
    </row>
    <row r="162" spans="1:7" x14ac:dyDescent="0.2">
      <c r="A162" s="22" t="s">
        <v>38</v>
      </c>
      <c r="B162" s="137">
        <f>'DOE25'!F501</f>
        <v>260000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260000</v>
      </c>
    </row>
    <row r="163" spans="1:7" x14ac:dyDescent="0.2">
      <c r="A163" s="22" t="s">
        <v>39</v>
      </c>
      <c r="B163" s="137">
        <f>'DOE25'!F502</f>
        <v>3900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3900</v>
      </c>
    </row>
    <row r="164" spans="1:7" x14ac:dyDescent="0.2">
      <c r="A164" s="22" t="s">
        <v>246</v>
      </c>
      <c r="B164" s="137">
        <f>'DOE25'!F503</f>
        <v>263900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263900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Chester School District SAU 82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12976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12976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6709260</v>
      </c>
      <c r="D10" s="182">
        <f>ROUND((C10/$C$28)*100,1)</f>
        <v>57.6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1695860</v>
      </c>
      <c r="D11" s="182">
        <f>ROUND((C11/$C$28)*100,1)</f>
        <v>14.6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87269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585603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422788</v>
      </c>
      <c r="D16" s="182">
        <f t="shared" si="0"/>
        <v>3.6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504747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421293</v>
      </c>
      <c r="D18" s="182">
        <f t="shared" si="0"/>
        <v>3.6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558022</v>
      </c>
      <c r="D20" s="182">
        <f t="shared" si="0"/>
        <v>4.8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606167</v>
      </c>
      <c r="D21" s="182">
        <f t="shared" si="0"/>
        <v>5.2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12075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43332.959999999992</v>
      </c>
      <c r="D27" s="182">
        <f t="shared" si="0"/>
        <v>0.4</v>
      </c>
    </row>
    <row r="28" spans="1:4" x14ac:dyDescent="0.2">
      <c r="B28" s="187" t="s">
        <v>717</v>
      </c>
      <c r="C28" s="180">
        <f>SUM(C10:C27)</f>
        <v>11646416.960000001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11646416.960000001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285000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7584909</v>
      </c>
      <c r="D35" s="182">
        <f t="shared" ref="D35:D40" si="1">ROUND((C35/$C$41)*100,1)</f>
        <v>63.3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69756.80999999959</v>
      </c>
      <c r="D36" s="182">
        <f t="shared" si="1"/>
        <v>0.6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3856085</v>
      </c>
      <c r="D37" s="182">
        <f t="shared" si="1"/>
        <v>32.200000000000003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171790</v>
      </c>
      <c r="D38" s="182">
        <f t="shared" si="1"/>
        <v>1.4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295355</v>
      </c>
      <c r="D39" s="182">
        <f t="shared" si="1"/>
        <v>2.5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11977895.809999999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Chester School District SAU 82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2018-09-07T15:26:09Z</cp:lastPrinted>
  <dcterms:created xsi:type="dcterms:W3CDTF">1997-12-04T19:04:30Z</dcterms:created>
  <dcterms:modified xsi:type="dcterms:W3CDTF">2018-11-13T19:29:21Z</dcterms:modified>
</cp:coreProperties>
</file>