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398" i="1" l="1"/>
  <c r="J468" i="1"/>
  <c r="G459" i="1"/>
  <c r="H604" i="1"/>
  <c r="J277" i="1"/>
  <c r="J179" i="1"/>
  <c r="D9" i="13"/>
  <c r="F611" i="1"/>
  <c r="G611" i="1"/>
  <c r="H523" i="1"/>
  <c r="J521" i="1"/>
  <c r="I521" i="1"/>
  <c r="H521" i="1"/>
  <c r="G521" i="1"/>
  <c r="F521" i="1"/>
  <c r="K531" i="1"/>
  <c r="I358" i="1"/>
  <c r="H358" i="1"/>
  <c r="G358" i="1"/>
  <c r="I277" i="1"/>
  <c r="K285" i="1"/>
  <c r="H283" i="1"/>
  <c r="I282" i="1"/>
  <c r="H282" i="1"/>
  <c r="G282" i="1"/>
  <c r="G281" i="1"/>
  <c r="F281" i="1"/>
  <c r="G279" i="1"/>
  <c r="J276" i="1"/>
  <c r="I276" i="1"/>
  <c r="G276" i="1"/>
  <c r="F276" i="1"/>
  <c r="H244" i="1"/>
  <c r="J202" i="1"/>
  <c r="I205" i="1"/>
  <c r="I203" i="1"/>
  <c r="I202" i="1"/>
  <c r="H202" i="1"/>
  <c r="H208" i="1"/>
  <c r="H209" i="1"/>
  <c r="H204" i="1"/>
  <c r="G204" i="1"/>
  <c r="G203" i="1"/>
  <c r="G202" i="1"/>
  <c r="G200" i="1"/>
  <c r="G198" i="1"/>
  <c r="F204" i="1"/>
  <c r="F203" i="1"/>
  <c r="F202" i="1"/>
  <c r="F200" i="1"/>
  <c r="F198" i="1"/>
  <c r="H102" i="1"/>
  <c r="H159" i="1"/>
  <c r="H155" i="1"/>
  <c r="H154" i="1"/>
  <c r="H150" i="1"/>
  <c r="G97" i="1"/>
  <c r="F110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E8" i="13"/>
  <c r="C8" i="13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H662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/>
  <c r="L359" i="1"/>
  <c r="L360" i="1"/>
  <c r="I367" i="1"/>
  <c r="I369" i="1"/>
  <c r="H634" i="1"/>
  <c r="J290" i="1"/>
  <c r="J309" i="1"/>
  <c r="J328" i="1"/>
  <c r="K290" i="1"/>
  <c r="K309" i="1"/>
  <c r="K328" i="1"/>
  <c r="L276" i="1"/>
  <c r="E109" i="2"/>
  <c r="L277" i="1"/>
  <c r="E110" i="2"/>
  <c r="L278" i="1"/>
  <c r="L279" i="1"/>
  <c r="E112" i="2"/>
  <c r="L281" i="1"/>
  <c r="E118" i="2"/>
  <c r="L282" i="1"/>
  <c r="L283" i="1"/>
  <c r="E120" i="2"/>
  <c r="L284" i="1"/>
  <c r="L285" i="1"/>
  <c r="C19" i="10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/>
  <c r="C138" i="2"/>
  <c r="L389" i="1"/>
  <c r="L390" i="1"/>
  <c r="L391" i="1"/>
  <c r="L392" i="1"/>
  <c r="L395" i="1"/>
  <c r="L396" i="1"/>
  <c r="L397" i="1"/>
  <c r="L398" i="1"/>
  <c r="L401" i="1"/>
  <c r="C139" i="2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C35" i="10"/>
  <c r="I60" i="1"/>
  <c r="F56" i="2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J140" i="1"/>
  <c r="F147" i="1"/>
  <c r="C85" i="2"/>
  <c r="F162" i="1"/>
  <c r="G147" i="1"/>
  <c r="G162" i="1"/>
  <c r="H147" i="1"/>
  <c r="H162" i="1"/>
  <c r="I147" i="1"/>
  <c r="I162" i="1"/>
  <c r="I169" i="1"/>
  <c r="C12" i="10"/>
  <c r="C17" i="10"/>
  <c r="L250" i="1"/>
  <c r="L332" i="1"/>
  <c r="L254" i="1"/>
  <c r="C25" i="10"/>
  <c r="L268" i="1"/>
  <c r="L269" i="1"/>
  <c r="C143" i="2"/>
  <c r="L349" i="1"/>
  <c r="L350" i="1"/>
  <c r="I665" i="1"/>
  <c r="I670" i="1"/>
  <c r="L229" i="1"/>
  <c r="F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51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I552" i="1"/>
  <c r="L537" i="1"/>
  <c r="I550" i="1"/>
  <c r="L538" i="1"/>
  <c r="I551" i="1"/>
  <c r="L541" i="1"/>
  <c r="J549" i="1"/>
  <c r="L542" i="1"/>
  <c r="J550" i="1"/>
  <c r="L543" i="1"/>
  <c r="J551" i="1"/>
  <c r="J552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D50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C57" i="2"/>
  <c r="E57" i="2"/>
  <c r="E62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C113" i="2"/>
  <c r="E113" i="2"/>
  <c r="C114" i="2"/>
  <c r="E114" i="2"/>
  <c r="D115" i="2"/>
  <c r="F115" i="2"/>
  <c r="G115" i="2"/>
  <c r="E119" i="2"/>
  <c r="C120" i="2"/>
  <c r="E121" i="2"/>
  <c r="C122" i="2"/>
  <c r="E123" i="2"/>
  <c r="E124" i="2"/>
  <c r="C125" i="2"/>
  <c r="E125" i="2"/>
  <c r="D127" i="2"/>
  <c r="D128" i="2"/>
  <c r="F128" i="2"/>
  <c r="G128" i="2"/>
  <c r="E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/>
  <c r="E156" i="2"/>
  <c r="F156" i="2"/>
  <c r="B157" i="2"/>
  <c r="C157" i="2"/>
  <c r="G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G164" i="2"/>
  <c r="I503" i="1"/>
  <c r="E164" i="2"/>
  <c r="J503" i="1"/>
  <c r="F164" i="2"/>
  <c r="F19" i="1"/>
  <c r="G617" i="1"/>
  <c r="G19" i="1"/>
  <c r="H19" i="1"/>
  <c r="G619" i="1"/>
  <c r="I19" i="1"/>
  <c r="F32" i="1"/>
  <c r="F52" i="1"/>
  <c r="G32" i="1"/>
  <c r="G52" i="1"/>
  <c r="H618" i="1"/>
  <c r="H32" i="1"/>
  <c r="I32" i="1"/>
  <c r="H617" i="1"/>
  <c r="H51" i="1"/>
  <c r="I51" i="1"/>
  <c r="I52" i="1"/>
  <c r="H620" i="1"/>
  <c r="F177" i="1"/>
  <c r="I177" i="1"/>
  <c r="F183" i="1"/>
  <c r="F192" i="1"/>
  <c r="G183" i="1"/>
  <c r="G192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I257" i="1"/>
  <c r="I271" i="1"/>
  <c r="J211" i="1"/>
  <c r="K211" i="1"/>
  <c r="F229" i="1"/>
  <c r="G229" i="1"/>
  <c r="H229" i="1"/>
  <c r="I229" i="1"/>
  <c r="J229" i="1"/>
  <c r="K229" i="1"/>
  <c r="K257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/>
  <c r="G290" i="1"/>
  <c r="G338" i="1"/>
  <c r="G352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/>
  <c r="H644" i="1"/>
  <c r="I401" i="1"/>
  <c r="F407" i="1"/>
  <c r="G407" i="1"/>
  <c r="H407" i="1"/>
  <c r="I407" i="1"/>
  <c r="F408" i="1"/>
  <c r="H643" i="1"/>
  <c r="I408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/>
  <c r="F433" i="1"/>
  <c r="G433" i="1"/>
  <c r="H433" i="1"/>
  <c r="I433" i="1"/>
  <c r="J433" i="1"/>
  <c r="F446" i="1"/>
  <c r="G639" i="1"/>
  <c r="G446" i="1"/>
  <c r="G640" i="1"/>
  <c r="H446" i="1"/>
  <c r="F452" i="1"/>
  <c r="G452" i="1"/>
  <c r="H452" i="1"/>
  <c r="F460" i="1"/>
  <c r="G460" i="1"/>
  <c r="G461" i="1"/>
  <c r="H640" i="1"/>
  <c r="H460" i="1"/>
  <c r="F461" i="1"/>
  <c r="H639" i="1"/>
  <c r="H461" i="1"/>
  <c r="H641" i="1"/>
  <c r="F470" i="1"/>
  <c r="G470" i="1"/>
  <c r="H470" i="1"/>
  <c r="H476" i="1"/>
  <c r="H624" i="1"/>
  <c r="I470" i="1"/>
  <c r="J470" i="1"/>
  <c r="F474" i="1"/>
  <c r="F476" i="1"/>
  <c r="H622" i="1"/>
  <c r="G474" i="1"/>
  <c r="G476" i="1"/>
  <c r="H623" i="1"/>
  <c r="J623" i="1"/>
  <c r="H474" i="1"/>
  <c r="I474" i="1"/>
  <c r="J474" i="1"/>
  <c r="J476" i="1"/>
  <c r="H626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/>
  <c r="L558" i="1"/>
  <c r="L559" i="1"/>
  <c r="F560" i="1"/>
  <c r="G560" i="1"/>
  <c r="H560" i="1"/>
  <c r="I560" i="1"/>
  <c r="J560" i="1"/>
  <c r="J571" i="1"/>
  <c r="K560" i="1"/>
  <c r="K571" i="1"/>
  <c r="L562" i="1"/>
  <c r="L563" i="1"/>
  <c r="L564" i="1"/>
  <c r="L565" i="1"/>
  <c r="F565" i="1"/>
  <c r="F571" i="1"/>
  <c r="G565" i="1"/>
  <c r="H565" i="1"/>
  <c r="I565" i="1"/>
  <c r="I571" i="1"/>
  <c r="J565" i="1"/>
  <c r="K565" i="1"/>
  <c r="L567" i="1"/>
  <c r="L568" i="1"/>
  <c r="L569" i="1"/>
  <c r="F570" i="1"/>
  <c r="G570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/>
  <c r="G643" i="1"/>
  <c r="J643" i="1"/>
  <c r="G644" i="1"/>
  <c r="G650" i="1"/>
  <c r="G652" i="1"/>
  <c r="H652" i="1"/>
  <c r="G653" i="1"/>
  <c r="H653" i="1"/>
  <c r="G654" i="1"/>
  <c r="H654" i="1"/>
  <c r="H655" i="1"/>
  <c r="C26" i="10"/>
  <c r="L328" i="1"/>
  <c r="A31" i="12"/>
  <c r="D18" i="13"/>
  <c r="C18" i="13"/>
  <c r="D17" i="13"/>
  <c r="C17" i="13"/>
  <c r="G161" i="2"/>
  <c r="D19" i="13"/>
  <c r="C19" i="13"/>
  <c r="E13" i="13"/>
  <c r="C13" i="13"/>
  <c r="E78" i="2"/>
  <c r="H112" i="1"/>
  <c r="G552" i="1"/>
  <c r="K550" i="1"/>
  <c r="H140" i="1"/>
  <c r="H25" i="13"/>
  <c r="C25" i="13"/>
  <c r="H338" i="1"/>
  <c r="H352" i="1"/>
  <c r="H192" i="1"/>
  <c r="L309" i="1"/>
  <c r="E16" i="13"/>
  <c r="C16" i="13"/>
  <c r="L570" i="1"/>
  <c r="G36" i="2"/>
  <c r="H33" i="13"/>
  <c r="G62" i="2"/>
  <c r="G63" i="2"/>
  <c r="J644" i="1"/>
  <c r="C70" i="2"/>
  <c r="L427" i="1"/>
  <c r="L256" i="1"/>
  <c r="F22" i="13"/>
  <c r="C22" i="13"/>
  <c r="J257" i="1"/>
  <c r="K605" i="1"/>
  <c r="G648" i="1"/>
  <c r="F130" i="2"/>
  <c r="F144" i="2" s="1"/>
  <c r="F145" i="2" s="1"/>
  <c r="C29" i="10"/>
  <c r="L382" i="1"/>
  <c r="G636" i="1"/>
  <c r="J636" i="1"/>
  <c r="K271" i="1"/>
  <c r="J639" i="1"/>
  <c r="G408" i="1"/>
  <c r="H645" i="1"/>
  <c r="J645" i="1"/>
  <c r="J655" i="1"/>
  <c r="G645" i="1"/>
  <c r="I476" i="1"/>
  <c r="H625" i="1"/>
  <c r="J625" i="1"/>
  <c r="A40" i="12"/>
  <c r="A13" i="12"/>
  <c r="K598" i="1"/>
  <c r="G647" i="1"/>
  <c r="K551" i="1"/>
  <c r="H545" i="1"/>
  <c r="G545" i="1"/>
  <c r="K549" i="1"/>
  <c r="K552" i="1"/>
  <c r="F552" i="1"/>
  <c r="J545" i="1"/>
  <c r="J634" i="1"/>
  <c r="D29" i="13"/>
  <c r="C29" i="13"/>
  <c r="H661" i="1"/>
  <c r="I661" i="1"/>
  <c r="J338" i="1"/>
  <c r="J352" i="1"/>
  <c r="E122" i="2"/>
  <c r="E128" i="2"/>
  <c r="C16" i="10"/>
  <c r="K338" i="1"/>
  <c r="K352" i="1"/>
  <c r="C15" i="10"/>
  <c r="C13" i="10"/>
  <c r="L290" i="1"/>
  <c r="L338" i="1"/>
  <c r="L352" i="1"/>
  <c r="G633" i="1"/>
  <c r="J633" i="1"/>
  <c r="E115" i="2"/>
  <c r="G651" i="1"/>
  <c r="J651" i="1"/>
  <c r="D15" i="13"/>
  <c r="C15" i="13"/>
  <c r="C110" i="2"/>
  <c r="L247" i="1"/>
  <c r="H257" i="1"/>
  <c r="H271" i="1"/>
  <c r="C10" i="10"/>
  <c r="L270" i="1"/>
  <c r="C123" i="2"/>
  <c r="G649" i="1"/>
  <c r="J649" i="1"/>
  <c r="F662" i="1"/>
  <c r="C21" i="10"/>
  <c r="H647" i="1"/>
  <c r="C124" i="2"/>
  <c r="I662" i="1"/>
  <c r="D14" i="13"/>
  <c r="C14" i="13"/>
  <c r="D12" i="13"/>
  <c r="C12" i="13"/>
  <c r="C121" i="2"/>
  <c r="C11" i="10"/>
  <c r="D7" i="13"/>
  <c r="C7" i="13"/>
  <c r="C119" i="2"/>
  <c r="D6" i="13"/>
  <c r="C6" i="13"/>
  <c r="G257" i="1"/>
  <c r="G271" i="1"/>
  <c r="C118" i="2"/>
  <c r="F257" i="1"/>
  <c r="F271" i="1"/>
  <c r="D5" i="13"/>
  <c r="C5" i="13"/>
  <c r="L211" i="1"/>
  <c r="C109" i="2"/>
  <c r="C115" i="2"/>
  <c r="H169" i="1"/>
  <c r="H193" i="1"/>
  <c r="G629" i="1"/>
  <c r="J629" i="1"/>
  <c r="D81" i="2"/>
  <c r="D62" i="2"/>
  <c r="D63" i="2"/>
  <c r="C91" i="2"/>
  <c r="F112" i="1"/>
  <c r="C36" i="10"/>
  <c r="C62" i="2"/>
  <c r="C63" i="2"/>
  <c r="E31" i="2"/>
  <c r="D18" i="2"/>
  <c r="H52" i="1"/>
  <c r="H619" i="1"/>
  <c r="J619" i="1"/>
  <c r="D31" i="2"/>
  <c r="J622" i="1"/>
  <c r="J617" i="1"/>
  <c r="C18" i="2"/>
  <c r="J640" i="1"/>
  <c r="J271" i="1"/>
  <c r="L544" i="1"/>
  <c r="L524" i="1"/>
  <c r="E33" i="13"/>
  <c r="D35" i="13"/>
  <c r="H552" i="1"/>
  <c r="F169" i="1"/>
  <c r="E81" i="2"/>
  <c r="H660" i="1"/>
  <c r="G624" i="1"/>
  <c r="J624" i="1"/>
  <c r="L534" i="1"/>
  <c r="K500" i="1"/>
  <c r="I460" i="1"/>
  <c r="I452" i="1"/>
  <c r="I461" i="1"/>
  <c r="H642" i="1"/>
  <c r="I446" i="1"/>
  <c r="G642" i="1"/>
  <c r="J642" i="1"/>
  <c r="D145" i="2"/>
  <c r="C78" i="2"/>
  <c r="C81" i="2"/>
  <c r="E56" i="2"/>
  <c r="E63" i="2"/>
  <c r="L614" i="1"/>
  <c r="L529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660" i="1"/>
  <c r="G664" i="1"/>
  <c r="G672" i="1"/>
  <c r="C5" i="10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G169" i="1"/>
  <c r="G140" i="1"/>
  <c r="F140" i="1"/>
  <c r="J618" i="1"/>
  <c r="G42" i="2"/>
  <c r="J51" i="1"/>
  <c r="G16" i="2"/>
  <c r="J19" i="1"/>
  <c r="G621" i="1"/>
  <c r="G18" i="2"/>
  <c r="F545" i="1"/>
  <c r="H434" i="1"/>
  <c r="J620" i="1"/>
  <c r="D103" i="2"/>
  <c r="I140" i="1"/>
  <c r="I193" i="1"/>
  <c r="G630" i="1"/>
  <c r="J630" i="1"/>
  <c r="A22" i="12"/>
  <c r="G50" i="2"/>
  <c r="G51" i="2"/>
  <c r="H648" i="1"/>
  <c r="J652" i="1"/>
  <c r="G571" i="1"/>
  <c r="I434" i="1"/>
  <c r="G434" i="1"/>
  <c r="I663" i="1"/>
  <c r="C27" i="10"/>
  <c r="G635" i="1"/>
  <c r="J635" i="1"/>
  <c r="F33" i="13"/>
  <c r="J648" i="1"/>
  <c r="H646" i="1"/>
  <c r="J646" i="1"/>
  <c r="J647" i="1"/>
  <c r="H664" i="1"/>
  <c r="H667" i="1"/>
  <c r="G667" i="1"/>
  <c r="E145" i="2"/>
  <c r="L257" i="1"/>
  <c r="L271" i="1"/>
  <c r="G632" i="1"/>
  <c r="J632" i="1"/>
  <c r="C28" i="10"/>
  <c r="D24" i="10"/>
  <c r="C128" i="2"/>
  <c r="C145" i="2"/>
  <c r="F660" i="1"/>
  <c r="F664" i="1"/>
  <c r="F667" i="1"/>
  <c r="C39" i="10"/>
  <c r="E104" i="2"/>
  <c r="D104" i="2"/>
  <c r="H672" i="1"/>
  <c r="C6" i="10"/>
  <c r="C104" i="2"/>
  <c r="F193" i="1"/>
  <c r="G627" i="1"/>
  <c r="J627" i="1"/>
  <c r="D31" i="13"/>
  <c r="C31" i="13"/>
  <c r="L545" i="1"/>
  <c r="G104" i="2"/>
  <c r="C51" i="2"/>
  <c r="G631" i="1"/>
  <c r="J631" i="1"/>
  <c r="G193" i="1"/>
  <c r="G628" i="1"/>
  <c r="J628" i="1"/>
  <c r="G626" i="1"/>
  <c r="J626" i="1"/>
  <c r="J52" i="1"/>
  <c r="H621" i="1"/>
  <c r="J621" i="1"/>
  <c r="C38" i="10"/>
  <c r="D33" i="13"/>
  <c r="D36" i="13"/>
  <c r="D22" i="10"/>
  <c r="D10" i="10"/>
  <c r="D21" i="10"/>
  <c r="D23" i="10"/>
  <c r="D26" i="10"/>
  <c r="D15" i="10"/>
  <c r="D25" i="10"/>
  <c r="D20" i="10"/>
  <c r="D11" i="10"/>
  <c r="D16" i="10"/>
  <c r="D13" i="10"/>
  <c r="C30" i="10"/>
  <c r="D19" i="10"/>
  <c r="D27" i="10"/>
  <c r="D18" i="10"/>
  <c r="D17" i="10"/>
  <c r="D12" i="10"/>
  <c r="I660" i="1"/>
  <c r="I664" i="1"/>
  <c r="I672" i="1"/>
  <c r="C7" i="10"/>
  <c r="F672" i="1"/>
  <c r="C4" i="10"/>
  <c r="H656" i="1"/>
  <c r="C41" i="10"/>
  <c r="D38" i="10"/>
  <c r="D28" i="10"/>
  <c r="I667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<sst xmlns="http://schemas.openxmlformats.org/spreadsheetml/2006/main" count="3957" uniqueCount="913">
  <si>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</si>
  <si>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</si>
  <si>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</si>
  <si>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</si>
  <si>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</si>
  <si>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</si>
  <si>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</si>
  <si>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</si>
  <si>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</si>
  <si>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</si>
  <si>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</si>
  <si>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</si>
  <si>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</si>
  <si>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</si>
  <si>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</si>
  <si>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</si>
  <si>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</si>
  <si>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</si>
  <si>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</si>
  <si>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</si>
  <si>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</si>
  <si>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</si>
  <si>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</si>
  <si>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</si>
  <si>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</si>
  <si>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</si>
  <si>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</si>
  <si>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</si>
  <si>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</si>
  <si>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</si>
  <si>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</si>
  <si>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</si>
  <si>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</si>
  <si>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</si>
  <si>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</si>
  <si>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</si>
  <si>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</si>
  <si>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</si>
  <si>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</si>
  <si>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</si>
  <si>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</si>
  <si>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</si>
  <si>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</si>
  <si>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</si>
  <si>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</si>
  <si>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</si>
  <si>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</si>
  <si>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</si>
  <si>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</si>
  <si>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</si>
  <si>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</si>
  <si>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</si>
  <si>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</si>
  <si>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</si>
  <si>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</si>
  <si>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</si>
  <si>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</si>
  <si>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</si>
  <si>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</si>
  <si>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</si>
  <si>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</si>
  <si>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</si>
  <si>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</si>
  <si>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</si>
  <si>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</si>
  <si>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</si>
  <si>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</si>
  <si>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</si>
  <si>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</si>
  <si>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</si>
  <si>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</si>
  <si>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</si>
  <si>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</si>
  <si>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</si>
  <si>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</si>
  <si>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</si>
  <si>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</si>
  <si>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</si>
  <si>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</si>
  <si>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</si>
  <si>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</si>
  <si>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</si>
  <si>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</si>
  <si>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</si>
  <si>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</si>
  <si>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</si>
  <si>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</si>
  <si>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</si>
  <si>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</si>
  <si>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</si>
  <si>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</si>
  <si>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</si>
  <si>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</si>
  <si>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</si>
  <si>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</si>
  <si>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</si>
  <si>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</si>
  <si>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</si>
  <si>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</si>
  <si>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</si>
  <si>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</si>
  <si>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</si>
  <si>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</si>
  <si>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</si>
  <si>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</si>
  <si>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</si>
  <si>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</si>
  <si>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</si>
  <si>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</si>
  <si>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</si>
  <si>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</si>
  <si>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</si>
  <si>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</si>
  <si>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</si>
  <si>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</si>
  <si>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</si>
  <si>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</si>
  <si>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</si>
  <si>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</si>
  <si>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</si>
  <si>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</si>
  <si>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</si>
  <si>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</si>
  <si>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</si>
  <si>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</si>
  <si>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</si>
  <si>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</si>
  <si>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</si>
  <si>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</si>
  <si>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</si>
  <si>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</si>
  <si>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</si>
  <si>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</si>
  <si>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</si>
  <si>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</si>
  <si>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</si>
  <si>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</si>
  <si>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</si>
  <si>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</si>
  <si>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</si>
  <si>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</si>
  <si>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</si>
  <si>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</si>
  <si>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</si>
  <si>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</si>
  <si>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</si>
  <si>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</si>
  <si>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</si>
  <si>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</si>
  <si>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</si>
  <si>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</si>
  <si>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</si>
  <si>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</si>
  <si>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</si>
  <si>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</si>
  <si>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</si>
  <si>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</si>
  <si>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</si>
  <si>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</si>
  <si>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</si>
  <si>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</si>
  <si>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</si>
  <si>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</si>
  <si>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</si>
  <si>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</si>
  <si>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</si>
  <si>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</si>
  <si>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</si>
  <si>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</si>
  <si>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</si>
  <si>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</si>
  <si>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</si>
  <si>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</si>
  <si>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</si>
  <si>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</si>
  <si>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</si>
  <si>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</si>
  <si>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</si>
  <si>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</si>
  <si>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</si>
  <si>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</si>
  <si>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</si>
  <si>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</si>
  <si>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</si>
  <si>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</si>
  <si>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</si>
  <si>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</si>
  <si>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</si>
  <si>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</si>
  <si>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</si>
  <si>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</si>
  <si>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</si>
  <si>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</si>
  <si>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</si>
  <si>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</si>
  <si>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</si>
  <si>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</si>
  <si>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</si>
  <si>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</si>
  <si>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</si>
  <si>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</si>
  <si>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</si>
  <si>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</si>
  <si>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</si>
  <si>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</si>
  <si>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</si>
  <si>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</si>
  <si>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</si>
  <si>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</si>
  <si>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</si>
  <si>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</si>
  <si>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</si>
  <si>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</si>
  <si>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</si>
  <si>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</si>
  <si>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</si>
  <si>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</si>
  <si>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</si>
  <si>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</si>
  <si>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</si>
  <si>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</si>
  <si>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</si>
  <si>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</si>
  <si>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</si>
  <si>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</si>
  <si>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</si>
  <si>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</si>
  <si>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</si>
  <si>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</si>
  <si>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</si>
  <si>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</si>
  <si>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</si>
  <si>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</si>
  <si>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</si>
  <si>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</si>
  <si>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</si>
  <si>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</si>
  <si>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</si>
  <si>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</si>
  <si>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</si>
  <si>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</si>
  <si>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</si>
  <si>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</si>
  <si>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</si>
  <si>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</si>
  <si>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</si>
  <si>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</si>
  <si>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</si>
  <si>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</si>
  <si>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</si>
  <si>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</si>
  <si>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</si>
  <si>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</si>
  <si>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</si>
  <si>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</si>
  <si>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</si>
  <si>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</si>
  <si>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</si>
  <si>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</si>
  <si>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</si>
  <si>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</si>
  <si>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</si>
  <si>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</si>
  <si>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</si>
  <si>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</si>
  <si>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</si>
  <si>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</si>
  <si>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</si>
  <si>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</si>
  <si>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</si>
  <si>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</si>
  <si>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</si>
  <si>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</si>
  <si>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</si>
  <si>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</si>
  <si>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</si>
  <si>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</si>
  <si>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</si>
  <si>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</si>
  <si>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</si>
  <si>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</si>
  <si>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</si>
  <si>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</si>
  <si>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</si>
  <si>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</si>
  <si>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</si>
  <si>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</si>
  <si>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</si>
  <si>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</si>
  <si>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</si>
  <si>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</si>
  <si>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</si>
  <si>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</si>
  <si>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</si>
  <si>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</si>
  <si>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</si>
  <si>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</si>
  <si>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</si>
  <si>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</si>
  <si>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</si>
  <si>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</si>
  <si>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</si>
  <si>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</si>
  <si>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</si>
  <si>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</si>
  <si>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</si>
  <si>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</si>
  <si>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</si>
  <si>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</si>
  <si>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</si>
  <si>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</si>
  <si>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</si>
  <si>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</si>
  <si>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</si>
  <si>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</si>
  <si>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</si>
  <si>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</si>
  <si>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</si>
  <si>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</si>
  <si>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</si>
  <si>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</si>
  <si>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</si>
  <si>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</si>
  <si>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</si>
  <si>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</si>
  <si>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</si>
  <si>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</si>
  <si>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</si>
  <si>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</si>
  <si>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</si>
  <si>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</si>
  <si>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</si>
  <si>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</si>
  <si>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</si>
  <si>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</si>
  <si>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</si>
  <si>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</si>
  <si>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</si>
  <si>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</si>
  <si>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</si>
  <si>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</si>
  <si>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</si>
  <si>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</si>
  <si>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</si>
  <si>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</si>
  <si>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</si>
  <si>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</si>
  <si>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</si>
  <si>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</si>
  <si>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</si>
  <si>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</si>
  <si>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</si>
  <si>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</si>
  <si>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</si>
  <si>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</si>
  <si>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</si>
  <si>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</si>
  <si>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</si>
  <si>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</si>
  <si>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</si>
  <si>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</si>
  <si>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</si>
  <si>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</si>
  <si>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</si>
  <si>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</si>
  <si>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</si>
  <si>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</si>
  <si>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</si>
  <si>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</si>
  <si>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</si>
  <si>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</si>
  <si>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</si>
  <si>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</si>
  <si>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</si>
  <si>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</si>
  <si>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</si>
  <si>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</si>
  <si>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</si>
  <si>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</si>
  <si>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</si>
  <si>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</si>
  <si>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</si>
  <si>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</si>
  <si>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</si>
  <si>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</si>
  <si>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</si>
  <si>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</si>
  <si>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</si>
  <si>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</si>
  <si>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</si>
  <si>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</si>
  <si>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</si>
  <si>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</si>
  <si>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</si>
  <si>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</si>
  <si>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</si>
  <si>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</si>
  <si>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</si>
  <si>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</si>
  <si>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</si>
  <si>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</si>
  <si>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</si>
  <si>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</si>
  <si>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</si>
  <si>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</si>
  <si>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</si>
  <si>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</si>
  <si>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</si>
  <si>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</si>
  <si>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</si>
  <si>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</si>
  <si>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</si>
  <si>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</si>
  <si>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</si>
  <si>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</si>
  <si>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</si>
  <si>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</si>
  <si>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</si>
  <si>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</si>
  <si>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</si>
  <si>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</si>
  <si>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</si>
  <si>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</si>
  <si>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</si>
  <si>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</si>
  <si>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</si>
  <si>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</si>
  <si>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</si>
  <si>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</si>
  <si>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</si>
  <si>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</si>
  <si>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</si>
  <si>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</si>
  <si>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</si>
  <si>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</si>
  <si>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</si>
  <si>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</si>
  <si>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</si>
  <si>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</si>
  <si>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</si>
  <si>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</si>
  <si>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</si>
  <si>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</si>
  <si>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</si>
  <si>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</si>
  <si>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</si>
  <si>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</si>
  <si>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</si>
  <si>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</si>
  <si>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</si>
  <si>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</si>
  <si>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</si>
  <si>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</si>
  <si>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</si>
  <si>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</si>
  <si>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</si>
  <si>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</si>
  <si>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</si>
  <si>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</si>
  <si>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</si>
  <si>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</si>
  <si>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</si>
  <si>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</si>
  <si>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</si>
  <si>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</si>
  <si>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</si>
  <si>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</si>
  <si>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</si>
  <si>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</si>
  <si>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</si>
  <si>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</si>
  <si>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</si>
  <si>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</si>
  <si>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</si>
  <si>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</si>
  <si>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</si>
  <si>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</si>
  <si>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</si>
  <si>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</si>
  <si>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</si>
  <si>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</si>
  <si>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</si>
  <si>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</si>
  <si>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</si>
  <si>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</si>
  <si>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</si>
  <si>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</si>
  <si>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</si>
  <si>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</si>
  <si>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</si>
  <si>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</si>
  <si>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</si>
  <si>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</si>
  <si>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</si>
  <si>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</si>
  <si>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</si>
  <si>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</si>
  <si>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</si>
  <si>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</si>
  <si>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</si>
  <si>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</si>
  <si>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</si>
  <si>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</si>
  <si>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</si>
  <si>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</si>
  <si>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</si>
  <si>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</si>
  <si>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</si>
  <si>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</si>
  <si>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</si>
  <si>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</si>
  <si>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</si>
  <si>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</si>
  <si>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</si>
  <si>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</si>
  <si>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</si>
  <si>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</si>
  <si>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</si>
  <si>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</si>
  <si>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</si>
  <si>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</si>
  <si>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</si>
  <si>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</si>
  <si>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</si>
  <si>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</si>
  <si>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</si>
  <si>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</si>
  <si>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</si>
  <si>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</si>
  <si>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</si>
  <si>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</si>
  <si>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</si>
  <si>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</si>
  <si>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</si>
  <si>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</si>
  <si>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</si>
  <si>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</si>
  <si>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</si>
  <si>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</si>
  <si>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</si>
  <si>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</si>
  <si>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</si>
  <si>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</si>
  <si>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</si>
  <si>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</si>
  <si>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</si>
  <si>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</si>
  <si>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</si>
  <si>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</si>
  <si>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</si>
  <si>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</si>
  <si>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</si>
  <si>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</si>
  <si>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</si>
  <si>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</si>
  <si>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</si>
  <si>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</si>
  <si>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</si>
  <si>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</si>
  <si>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</si>
  <si>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</si>
  <si>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</si>
  <si>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</si>
  <si>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</si>
  <si>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</si>
  <si>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</si>
  <si>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</si>
  <si>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</si>
  <si>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</si>
  <si>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</si>
  <si>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</si>
  <si>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</si>
  <si>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</si>
  <si>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</si>
  <si>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</si>
  <si>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</si>
  <si>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</si>
  <si>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</si>
  <si>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</si>
  <si>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</si>
  <si>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</si>
  <si>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</si>
  <si>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</si>
  <si>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</si>
  <si>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</si>
  <si>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</si>
  <si>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</si>
  <si>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</si>
  <si>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</si>
  <si>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</si>
  <si>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</si>
  <si>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</si>
  <si>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</si>
  <si>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</si>
  <si>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</si>
  <si>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</si>
  <si>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</si>
  <si>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</si>
  <si>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</si>
  <si>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</si>
  <si>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</si>
  <si>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</si>
  <si>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</si>
  <si>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</si>
  <si>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</si>
  <si>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</si>
  <si>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</si>
  <si>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</si>
  <si>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</si>
  <si>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</si>
  <si>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</si>
  <si>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</si>
  <si>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</si>
  <si>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</si>
  <si>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</si>
  <si>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</si>
  <si>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</si>
  <si>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</si>
  <si>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</si>
  <si>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</si>
  <si>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</si>
  <si>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</si>
  <si>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</si>
  <si>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</si>
  <si>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</si>
  <si>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</si>
  <si>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</si>
  <si>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</si>
  <si>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</si>
  <si>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</si>
  <si>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</si>
  <si>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</si>
  <si>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</si>
  <si>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</si>
  <si>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</si>
  <si>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</si>
  <si>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</si>
  <si>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</si>
  <si>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</si>
  <si>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</si>
  <si>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</si>
  <si>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</si>
  <si>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</si>
  <si>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</si>
  <si>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</si>
  <si>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</si>
  <si>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</si>
  <si>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</si>
  <si>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</si>
  <si>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</si>
  <si>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</si>
  <si>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</si>
  <si>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</si>
  <si>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</si>
  <si>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</si>
  <si>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</si>
  <si>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</si>
  <si>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</si>
  <si>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</si>
  <si>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</si>
  <si>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</si>
  <si>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</si>
  <si>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</si>
  <si>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</si>
  <si>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</si>
  <si>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</si>
  <si>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</si>
  <si>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</si>
  <si>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</si>
  <si>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</si>
  <si>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</si>
  <si>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</si>
  <si>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</si>
  <si>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</si>
  <si>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</si>
  <si>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</si>
  <si>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</si>
  <si>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</si>
  <si>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</si>
  <si>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</si>
  <si>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</si>
  <si>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</si>
  <si>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</si>
  <si>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</si>
  <si>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</si>
  <si>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</si>
  <si>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</si>
  <si>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</si>
  <si>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</si>
  <si>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</si>
  <si>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</si>
  <si>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</si>
  <si>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</si>
  <si>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</si>
  <si>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</si>
  <si>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</si>
  <si>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</si>
  <si>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</si>
  <si>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</si>
  <si>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</si>
  <si>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</si>
  <si>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</si>
  <si>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</si>
  <si>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</si>
  <si>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</si>
  <si>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</si>
  <si>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</si>
  <si>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</si>
  <si>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</si>
  <si>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</si>
  <si>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</si>
  <si>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</si>
  <si>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</si>
  <si>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</si>
  <si>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</si>
  <si>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</si>
  <si>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</si>
  <si>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</si>
  <si>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</si>
  <si>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</si>
  <si>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</si>
  <si>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</si>
  <si>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</si>
  <si>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</si>
  <si>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</si>
  <si>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</si>
  <si>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</si>
  <si>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</si>
  <si>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</si>
  <si>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</si>
  <si>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</si>
  <si>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</si>
  <si>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</si>
  <si>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</si>
  <si>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</si>
  <si>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</si>
  <si>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</si>
  <si>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</si>
  <si>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</si>
  <si>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</si>
  <si>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</si>
  <si>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</si>
  <si>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</si>
  <si>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</si>
  <si>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</si>
  <si>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</si>
  <si>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</si>
  <si>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</si>
  <si>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</si>
  <si>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</si>
  <si>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</si>
  <si>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</si>
  <si>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</si>
  <si>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</si>
  <si>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</si>
  <si>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</si>
  <si>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</si>
  <si>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</si>
  <si>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</si>
  <si>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</si>
  <si>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</si>
  <si>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</si>
  <si>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</si>
  <si>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</si>
  <si>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</si>
  <si>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</si>
  <si>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</si>
  <si>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</si>
  <si>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</si>
  <si>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</si>
  <si>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</si>
  <si>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</si>
  <si>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</si>
  <si>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</si>
  <si>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</si>
  <si>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</si>
  <si>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</si>
  <si>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</si>
  <si>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</si>
  <si>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</si>
  <si>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</si>
  <si>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</si>
  <si>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</si>
  <si>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</si>
  <si>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</si>
  <si>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</si>
  <si>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</si>
  <si>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</si>
  <si>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</si>
  <si>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</si>
  <si>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</si>
  <si>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</si>
  <si>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</si>
  <si>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</si>
  <si>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</si>
  <si>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</si>
  <si>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</si>
  <si>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</si>
  <si>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</si>
  <si>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</si>
  <si>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</si>
  <si>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</si>
  <si>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</si>
  <si>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</si>
  <si>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</si>
  <si>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</si>
  <si>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</si>
  <si>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</si>
  <si>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</si>
  <si>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</si>
  <si>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</si>
  <si>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</si>
  <si>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</si>
  <si>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</si>
  <si>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</si>
  <si>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</si>
  <si>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</si>
  <si>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</si>
  <si>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</si>
  <si>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</si>
  <si>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</si>
  <si>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</si>
  <si>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</si>
  <si>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</si>
  <si>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</si>
  <si>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</si>
  <si>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</si>
  <si>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</si>
  <si>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</si>
  <si>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</si>
  <si>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</si>
  <si>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</si>
  <si>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</si>
  <si>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</si>
  <si>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</si>
  <si>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</si>
  <si>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</si>
  <si>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</si>
  <si>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</si>
  <si>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</si>
  <si>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</si>
  <si>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</si>
  <si>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</si>
  <si>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</si>
  <si>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</si>
  <si>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</si>
  <si>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</si>
  <si>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</si>
  <si>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</si>
  <si>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</si>
  <si>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</si>
  <si>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</si>
  <si>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</si>
  <si>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</si>
  <si>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</si>
  <si>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</si>
  <si>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</si>
  <si>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</si>
  <si>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</si>
  <si>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</si>
  <si>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</si>
  <si>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</si>
  <si>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</si>
  <si>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</si>
  <si>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</si>
  <si>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</si>
  <si>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</si>
  <si>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</si>
  <si>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</si>
  <si>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</si>
  <si>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</si>
  <si>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</si>
  <si>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</si>
  <si>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</si>
  <si>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</si>
  <si>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</si>
  <si>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</si>
  <si>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</si>
  <si>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</si>
  <si>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</si>
  <si>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</si>
  <si>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</si>
  <si>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</si>
  <si>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</si>
  <si>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</si>
  <si>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</si>
  <si>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</si>
  <si>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</si>
  <si>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</si>
  <si>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</si>
  <si>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</si>
  <si>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</si>
  <si>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</si>
  <si>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</si>
  <si>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</si>
  <si>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</si>
  <si>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</si>
  <si>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</si>
  <si>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</si>
  <si>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</si>
  <si>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</si>
  <si>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</si>
  <si>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</si>
  <si>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</si>
  <si>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</si>
  <si>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</si>
  <si>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</si>
  <si>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</si>
  <si>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</si>
  <si>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</si>
  <si>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</si>
  <si>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</si>
  <si>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Chesterfield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</si>
</sst>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34" zoomScaleNormal="100" workbookViewId="0">
      <selection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95</v>
      </c>
      <c r="C2" s="21">
        <v>95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484365.64+2000-110841.08</f>
        <v>375524.56</v>
      </c>
      <c r="G9" s="18">
        <v>781.73</v>
      </c>
      <c r="H9" s="18">
        <v>338.67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438744.53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21778.880000000001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67267.8</v>
      </c>
      <c r="G13" s="18">
        <v>2577.7199999999998</v>
      </c>
      <c r="H13" s="18">
        <v>24662.87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661.11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450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465021.24</v>
      </c>
      <c r="G19" s="41">
        <f>SUM(G9:G18)</f>
        <v>4020.56</v>
      </c>
      <c r="H19" s="41">
        <f>SUM(H9:H18)</f>
        <v>25001.539999999997</v>
      </c>
      <c r="I19" s="41">
        <f>SUM(I9:I18)</f>
        <v>0</v>
      </c>
      <c r="J19" s="41">
        <f>SUM(J9:J18)</f>
        <v>438744.53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/>
      <c r="H22" s="18">
        <v>21778.880000000001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1552.68</v>
      </c>
      <c r="G23" s="18"/>
      <c r="H23" s="18">
        <v>2111.63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30109.61</v>
      </c>
      <c r="G24" s="18"/>
      <c r="H24" s="18">
        <v>772.36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3093.22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4020.56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34755.51</v>
      </c>
      <c r="G32" s="41">
        <f>SUM(G22:G31)</f>
        <v>4020.56</v>
      </c>
      <c r="H32" s="41">
        <f>SUM(H22:H31)</f>
        <v>24662.870000000003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450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338.67</v>
      </c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52580.53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438744.53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377235.20000000001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430265.73</v>
      </c>
      <c r="G51" s="41">
        <f>SUM(G35:G50)</f>
        <v>0</v>
      </c>
      <c r="H51" s="41">
        <f>SUM(H35:H50)</f>
        <v>338.67</v>
      </c>
      <c r="I51" s="41">
        <f>SUM(I35:I50)</f>
        <v>0</v>
      </c>
      <c r="J51" s="41">
        <f>SUM(J35:J50)</f>
        <v>438744.53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465021.24</v>
      </c>
      <c r="G52" s="41">
        <f>G51+G32</f>
        <v>4020.56</v>
      </c>
      <c r="H52" s="41">
        <f>H51+H32</f>
        <v>25001.54</v>
      </c>
      <c r="I52" s="41">
        <f>I51+I32</f>
        <v>0</v>
      </c>
      <c r="J52" s="41">
        <f>J51+J32</f>
        <v>438744.53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5819646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5819646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316.92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58902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59218.92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691.51</v>
      </c>
      <c r="G96" s="18"/>
      <c r="H96" s="18"/>
      <c r="I96" s="18"/>
      <c r="J96" s="18">
        <v>1689.53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47594.19+9600.39+4022.3+3102.95</f>
        <v>64319.83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751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2000+500-165.56</f>
        <v>2334.44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63733.43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18.649999999999999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9879.03+6862.15</f>
        <v>16741.18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81935.77</v>
      </c>
      <c r="G111" s="41">
        <f>SUM(G96:G110)</f>
        <v>64319.83</v>
      </c>
      <c r="H111" s="41">
        <f>SUM(H96:H110)</f>
        <v>2334.44</v>
      </c>
      <c r="I111" s="41">
        <f>SUM(I96:I110)</f>
        <v>0</v>
      </c>
      <c r="J111" s="41">
        <f>SUM(J96:J110)</f>
        <v>1689.53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5960800.6899999995</v>
      </c>
      <c r="G112" s="41">
        <f>G60+G111</f>
        <v>64319.83</v>
      </c>
      <c r="H112" s="41">
        <f>H60+H79+H94+H111</f>
        <v>2334.44</v>
      </c>
      <c r="I112" s="41">
        <f>I60+I111</f>
        <v>0</v>
      </c>
      <c r="J112" s="41">
        <f>J60+J111</f>
        <v>1689.53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759582.94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1120860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6096.48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1886539.42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117131.45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1610.2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117131.45</v>
      </c>
      <c r="G136" s="41">
        <f>SUM(G123:G135)</f>
        <v>1610.2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2003670.8699999999</v>
      </c>
      <c r="G140" s="41">
        <f>G121+SUM(G136:G137)</f>
        <v>1610.2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31.66+5908.36+9040.33</f>
        <v>14980.349999999999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13481.63+27870.79</f>
        <v>41352.42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2470.6+20655.96</f>
        <v>23126.559999999998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46812.77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36025.74+1406.3+44169.88</f>
        <v>81601.919999999998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40678.94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40678.94</v>
      </c>
      <c r="G162" s="41">
        <f>SUM(G150:G161)</f>
        <v>46812.77</v>
      </c>
      <c r="H162" s="41">
        <f>SUM(H150:H161)</f>
        <v>161061.25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40678.94</v>
      </c>
      <c r="G169" s="41">
        <f>G147+G162+SUM(G163:G168)</f>
        <v>46812.77</v>
      </c>
      <c r="H169" s="41">
        <f>H147+H162+SUM(H163:H168)</f>
        <v>161061.25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2467.59</v>
      </c>
      <c r="H179" s="18"/>
      <c r="I179" s="18"/>
      <c r="J179" s="18">
        <f>10000+65000</f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2467.59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2467.59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8005150.5</v>
      </c>
      <c r="G193" s="47">
        <f>G112+G140+G169+G192</f>
        <v>115210.38999999998</v>
      </c>
      <c r="H193" s="47">
        <f>H112+H140+H169+H192</f>
        <v>163395.69</v>
      </c>
      <c r="I193" s="47">
        <f>I112+I140+I169+I192</f>
        <v>0</v>
      </c>
      <c r="J193" s="47">
        <f>J112+J140+J192</f>
        <v>76689.53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1557708.75</v>
      </c>
      <c r="G197" s="18">
        <v>686610.77</v>
      </c>
      <c r="H197" s="18">
        <v>1209.1400000000001</v>
      </c>
      <c r="I197" s="18">
        <v>52038.67</v>
      </c>
      <c r="J197" s="18">
        <v>12948.95</v>
      </c>
      <c r="K197" s="18"/>
      <c r="L197" s="19">
        <f>SUM(F197:K197)</f>
        <v>2310516.2800000003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465657.05+25654.24</f>
        <v>491311.29</v>
      </c>
      <c r="G198" s="18">
        <f>272373.3+2057.4</f>
        <v>274430.7</v>
      </c>
      <c r="H198" s="18">
        <v>150746.45000000001</v>
      </c>
      <c r="I198" s="18">
        <v>248.52</v>
      </c>
      <c r="J198" s="18"/>
      <c r="K198" s="18"/>
      <c r="L198" s="19">
        <f>SUM(F198:K198)</f>
        <v>916736.96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12749.97+1620</f>
        <v>14369.97</v>
      </c>
      <c r="G200" s="18">
        <f>2044.39+308.91</f>
        <v>2353.3000000000002</v>
      </c>
      <c r="H200" s="18">
        <v>21440.59</v>
      </c>
      <c r="I200" s="18">
        <v>2378.7399999999998</v>
      </c>
      <c r="J200" s="18">
        <v>710.57</v>
      </c>
      <c r="K200" s="18">
        <v>4538.1000000000004</v>
      </c>
      <c r="L200" s="19">
        <f>SUM(F200:K200)</f>
        <v>45791.27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60799.96+57788.25+49799.88+57285.13+69098.12</f>
        <v>294771.33999999997</v>
      </c>
      <c r="G202" s="18">
        <f>21978.9+33000.51+3993.86+37424.08+25923.95</f>
        <v>122321.3</v>
      </c>
      <c r="H202" s="18">
        <f>6000+11047.75+19749.88+2490</f>
        <v>39287.630000000005</v>
      </c>
      <c r="I202" s="18">
        <f>275.95+2465.51+1451.97+354.85+168.39</f>
        <v>4716.670000000001</v>
      </c>
      <c r="J202" s="18">
        <f>1510.97+647.43+38.94</f>
        <v>2197.34</v>
      </c>
      <c r="K202" s="18"/>
      <c r="L202" s="19">
        <f t="shared" ref="L202:L208" si="0">SUM(F202:K202)</f>
        <v>463294.27999999997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15718.52+47999.9</f>
        <v>63718.42</v>
      </c>
      <c r="G203" s="18">
        <f>3986.99+14545.5+31905.06</f>
        <v>50437.55</v>
      </c>
      <c r="H203" s="18">
        <v>16384.13</v>
      </c>
      <c r="I203" s="18">
        <f>1754.03+9285.98</f>
        <v>11040.01</v>
      </c>
      <c r="J203" s="18">
        <v>12521.77</v>
      </c>
      <c r="K203" s="18">
        <v>535.99</v>
      </c>
      <c r="L203" s="19">
        <f t="shared" si="0"/>
        <v>154637.87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5169+3277</f>
        <v>8446</v>
      </c>
      <c r="G204" s="18">
        <f>414.53+262.82</f>
        <v>677.34999999999991</v>
      </c>
      <c r="H204" s="18">
        <f>209.37+150+490.5+10050+4049.39+150+424492</f>
        <v>439591.26</v>
      </c>
      <c r="I204" s="18">
        <v>341.8</v>
      </c>
      <c r="J204" s="18"/>
      <c r="K204" s="18">
        <v>3628.99</v>
      </c>
      <c r="L204" s="19">
        <f t="shared" si="0"/>
        <v>452685.39999999997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167696.67000000001</v>
      </c>
      <c r="G205" s="18">
        <v>66639.05</v>
      </c>
      <c r="H205" s="18">
        <v>16095.29</v>
      </c>
      <c r="I205" s="18">
        <f>770.87+1113.58</f>
        <v>1884.4499999999998</v>
      </c>
      <c r="J205" s="18"/>
      <c r="K205" s="18">
        <v>545</v>
      </c>
      <c r="L205" s="19">
        <f t="shared" si="0"/>
        <v>252860.46000000005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126538.77</v>
      </c>
      <c r="G207" s="18">
        <v>33245.1</v>
      </c>
      <c r="H207" s="18">
        <v>162807.72</v>
      </c>
      <c r="I207" s="18">
        <v>78995.13</v>
      </c>
      <c r="J207" s="18">
        <v>12109.25</v>
      </c>
      <c r="K207" s="18"/>
      <c r="L207" s="19">
        <f t="shared" si="0"/>
        <v>413695.97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217359+50605.14+6157.04+2200</f>
        <v>276321.18</v>
      </c>
      <c r="I208" s="18"/>
      <c r="J208" s="18"/>
      <c r="K208" s="18"/>
      <c r="L208" s="19">
        <f t="shared" si="0"/>
        <v>276321.18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1750</v>
      </c>
      <c r="G209" s="18">
        <v>444.16</v>
      </c>
      <c r="H209" s="18">
        <f>851+8476.1</f>
        <v>9327.1</v>
      </c>
      <c r="I209" s="18">
        <v>12228.28</v>
      </c>
      <c r="J209" s="18">
        <v>35735</v>
      </c>
      <c r="K209" s="18"/>
      <c r="L209" s="19">
        <f>SUM(F209:K209)</f>
        <v>59484.54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2726311.21</v>
      </c>
      <c r="G211" s="41">
        <f t="shared" si="1"/>
        <v>1237159.2800000003</v>
      </c>
      <c r="H211" s="41">
        <f t="shared" si="1"/>
        <v>1133210.4900000002</v>
      </c>
      <c r="I211" s="41">
        <f t="shared" si="1"/>
        <v>163872.26999999999</v>
      </c>
      <c r="J211" s="41">
        <f t="shared" si="1"/>
        <v>76222.880000000005</v>
      </c>
      <c r="K211" s="41">
        <f t="shared" si="1"/>
        <v>9248.08</v>
      </c>
      <c r="L211" s="41">
        <f t="shared" si="1"/>
        <v>5346024.21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1633987.11</v>
      </c>
      <c r="I233" s="18"/>
      <c r="J233" s="18"/>
      <c r="K233" s="18"/>
      <c r="L233" s="19">
        <f>SUM(F233:K233)</f>
        <v>1633987.11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721193.84</v>
      </c>
      <c r="I234" s="18"/>
      <c r="J234" s="18"/>
      <c r="K234" s="18"/>
      <c r="L234" s="19">
        <f>SUM(F234:K234)</f>
        <v>721193.84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70997.63+39250</f>
        <v>110247.63</v>
      </c>
      <c r="I244" s="18"/>
      <c r="J244" s="18"/>
      <c r="K244" s="18"/>
      <c r="L244" s="19">
        <f t="shared" si="4"/>
        <v>110247.63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2465428.58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2465428.58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>
        <v>89500</v>
      </c>
      <c r="K255" s="18"/>
      <c r="L255" s="19">
        <f t="shared" si="6"/>
        <v>89500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89500</v>
      </c>
      <c r="K256" s="41">
        <f t="shared" si="7"/>
        <v>0</v>
      </c>
      <c r="L256" s="41">
        <f>SUM(F256:K256)</f>
        <v>89500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2726311.21</v>
      </c>
      <c r="G257" s="41">
        <f t="shared" si="8"/>
        <v>1237159.2800000003</v>
      </c>
      <c r="H257" s="41">
        <f t="shared" si="8"/>
        <v>3598639.0700000003</v>
      </c>
      <c r="I257" s="41">
        <f t="shared" si="8"/>
        <v>163872.26999999999</v>
      </c>
      <c r="J257" s="41">
        <f t="shared" si="8"/>
        <v>165722.88</v>
      </c>
      <c r="K257" s="41">
        <f t="shared" si="8"/>
        <v>9248.08</v>
      </c>
      <c r="L257" s="41">
        <f t="shared" si="8"/>
        <v>7900952.79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2467.59</v>
      </c>
      <c r="L263" s="19">
        <f>SUM(F263:K263)</f>
        <v>2467.59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77467.59</v>
      </c>
      <c r="L270" s="41">
        <f t="shared" si="9"/>
        <v>77467.59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2726311.21</v>
      </c>
      <c r="G271" s="42">
        <f t="shared" si="11"/>
        <v>1237159.2800000003</v>
      </c>
      <c r="H271" s="42">
        <f t="shared" si="11"/>
        <v>3598639.0700000003</v>
      </c>
      <c r="I271" s="42">
        <f t="shared" si="11"/>
        <v>163872.26999999999</v>
      </c>
      <c r="J271" s="42">
        <f t="shared" si="11"/>
        <v>165722.88</v>
      </c>
      <c r="K271" s="42">
        <f t="shared" si="11"/>
        <v>86715.67</v>
      </c>
      <c r="L271" s="42">
        <f t="shared" si="11"/>
        <v>7978420.3799999999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941.18+20311.86</f>
        <v>21253.040000000001</v>
      </c>
      <c r="G276" s="18">
        <f>72+1553.9+3.48+75.17</f>
        <v>1704.5500000000002</v>
      </c>
      <c r="H276" s="18"/>
      <c r="I276" s="18">
        <f>31.66+349.42+1083.56+367.21</f>
        <v>1831.85</v>
      </c>
      <c r="J276" s="18">
        <f>282.15+3642.98+899.67+1140+9040.33</f>
        <v>15005.130000000001</v>
      </c>
      <c r="K276" s="18"/>
      <c r="L276" s="19">
        <f>SUM(F276:K276)</f>
        <v>39794.57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f>831.48+240+3322.08+215+137.51+126.06+230.9+640+236.62</f>
        <v>5979.65</v>
      </c>
      <c r="J277" s="18">
        <f>265+901.02+5118.61+4354.88+1764</f>
        <v>12403.509999999998</v>
      </c>
      <c r="K277" s="18"/>
      <c r="L277" s="19">
        <f>SUM(F277:K277)</f>
        <v>18383.159999999996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6240</v>
      </c>
      <c r="G279" s="18">
        <f>1083.26+477.36+22.05</f>
        <v>1582.6699999999998</v>
      </c>
      <c r="H279" s="18">
        <v>1700</v>
      </c>
      <c r="I279" s="18"/>
      <c r="J279" s="18"/>
      <c r="K279" s="18"/>
      <c r="L279" s="19">
        <f>SUM(F279:K279)</f>
        <v>9522.67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125+27040</f>
        <v>27165</v>
      </c>
      <c r="G281" s="18">
        <f>9.56+0.46+2068.56+100.05</f>
        <v>2178.63</v>
      </c>
      <c r="H281" s="18">
        <v>635.32000000000005</v>
      </c>
      <c r="I281" s="18">
        <v>261.89999999999998</v>
      </c>
      <c r="J281" s="18"/>
      <c r="K281" s="18">
        <v>276.61</v>
      </c>
      <c r="L281" s="19">
        <f t="shared" ref="L281:L287" si="12">SUM(F281:K281)</f>
        <v>30517.460000000003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26759.98</v>
      </c>
      <c r="G282" s="18">
        <f>99.01+2046.98</f>
        <v>2145.9900000000002</v>
      </c>
      <c r="H282" s="18">
        <f>495+14043+498+677.24+5685.72+2385+209.99+219</f>
        <v>24212.95</v>
      </c>
      <c r="I282" s="18">
        <f>1158.52+26.55</f>
        <v>1185.07</v>
      </c>
      <c r="J282" s="18"/>
      <c r="K282" s="18"/>
      <c r="L282" s="19">
        <f t="shared" si="12"/>
        <v>54303.99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f>2000+2000</f>
        <v>4000</v>
      </c>
      <c r="I283" s="18"/>
      <c r="J283" s="18"/>
      <c r="K283" s="18"/>
      <c r="L283" s="19">
        <f t="shared" si="12"/>
        <v>4000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139.84+592.88+927.24+1251.12+1584.31+1982.79+61.84</f>
        <v>6540.0199999999995</v>
      </c>
      <c r="L285" s="19">
        <f t="shared" si="12"/>
        <v>6540.0199999999995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>
        <v>160.71</v>
      </c>
      <c r="J288" s="18"/>
      <c r="K288" s="18"/>
      <c r="L288" s="19">
        <f>SUM(F288:K288)</f>
        <v>160.71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81418.02</v>
      </c>
      <c r="G290" s="42">
        <f t="shared" si="13"/>
        <v>7611.84</v>
      </c>
      <c r="H290" s="42">
        <f t="shared" si="13"/>
        <v>30548.27</v>
      </c>
      <c r="I290" s="42">
        <f t="shared" si="13"/>
        <v>9419.1799999999985</v>
      </c>
      <c r="J290" s="42">
        <f t="shared" si="13"/>
        <v>27408.639999999999</v>
      </c>
      <c r="K290" s="42">
        <f t="shared" si="13"/>
        <v>6816.6299999999992</v>
      </c>
      <c r="L290" s="41">
        <f t="shared" si="13"/>
        <v>163222.57999999999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81418.02</v>
      </c>
      <c r="G338" s="41">
        <f t="shared" si="20"/>
        <v>7611.84</v>
      </c>
      <c r="H338" s="41">
        <f t="shared" si="20"/>
        <v>30548.27</v>
      </c>
      <c r="I338" s="41">
        <f t="shared" si="20"/>
        <v>9419.1799999999985</v>
      </c>
      <c r="J338" s="41">
        <f t="shared" si="20"/>
        <v>27408.639999999999</v>
      </c>
      <c r="K338" s="41">
        <f t="shared" si="20"/>
        <v>6816.6299999999992</v>
      </c>
      <c r="L338" s="41">
        <f t="shared" si="20"/>
        <v>163222.57999999999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81418.02</v>
      </c>
      <c r="G352" s="41">
        <f>G338</f>
        <v>7611.84</v>
      </c>
      <c r="H352" s="41">
        <f>H338</f>
        <v>30548.27</v>
      </c>
      <c r="I352" s="41">
        <f>I338</f>
        <v>9419.1799999999985</v>
      </c>
      <c r="J352" s="41">
        <f>J338</f>
        <v>27408.639999999999</v>
      </c>
      <c r="K352" s="47">
        <f>K338+K351</f>
        <v>6816.6299999999992</v>
      </c>
      <c r="L352" s="41">
        <f>L338+L351</f>
        <v>163222.57999999999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51326.25</v>
      </c>
      <c r="G358" s="18">
        <f>573+178.92+124.26+3889.28+1854.28</f>
        <v>6619.74</v>
      </c>
      <c r="H358" s="18">
        <f>6000+130.9+200+176.55</f>
        <v>6507.45</v>
      </c>
      <c r="I358" s="18">
        <f>1727.87+47965.33+738.75</f>
        <v>50431.950000000004</v>
      </c>
      <c r="J358" s="18"/>
      <c r="K358" s="18">
        <v>325</v>
      </c>
      <c r="L358" s="13">
        <f>SUM(F358:K358)</f>
        <v>115210.39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51326.25</v>
      </c>
      <c r="G362" s="47">
        <f t="shared" si="22"/>
        <v>6619.74</v>
      </c>
      <c r="H362" s="47">
        <f t="shared" si="22"/>
        <v>6507.45</v>
      </c>
      <c r="I362" s="47">
        <f t="shared" si="22"/>
        <v>50431.950000000004</v>
      </c>
      <c r="J362" s="47">
        <f t="shared" si="22"/>
        <v>0</v>
      </c>
      <c r="K362" s="47">
        <f t="shared" si="22"/>
        <v>325</v>
      </c>
      <c r="L362" s="47">
        <f t="shared" si="22"/>
        <v>115210.39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50431.95</v>
      </c>
      <c r="G367" s="18"/>
      <c r="H367" s="18"/>
      <c r="I367" s="56">
        <f>SUM(F367:H367)</f>
        <v>50431.95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50431.95</v>
      </c>
      <c r="G369" s="47">
        <f>SUM(G367:G368)</f>
        <v>0</v>
      </c>
      <c r="H369" s="47">
        <f>SUM(H367:H368)</f>
        <v>0</v>
      </c>
      <c r="I369" s="47">
        <f>SUM(I367:I368)</f>
        <v>50431.95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65000</v>
      </c>
      <c r="H388" s="18">
        <v>645</v>
      </c>
      <c r="I388" s="18"/>
      <c r="J388" s="24" t="s">
        <v>286</v>
      </c>
      <c r="K388" s="24" t="s">
        <v>286</v>
      </c>
      <c r="L388" s="56">
        <f t="shared" si="25"/>
        <v>65645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65000</v>
      </c>
      <c r="H393" s="139">
        <f>SUM(H387:H392)</f>
        <v>645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65645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10000</v>
      </c>
      <c r="H398" s="18">
        <f>627+247+170.53</f>
        <v>1044.53</v>
      </c>
      <c r="I398" s="18"/>
      <c r="J398" s="24" t="s">
        <v>286</v>
      </c>
      <c r="K398" s="24" t="s">
        <v>286</v>
      </c>
      <c r="L398" s="56">
        <f t="shared" si="26"/>
        <v>11044.53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1044.53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11044.53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1689.53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76689.53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>
        <v>44960</v>
      </c>
      <c r="K413" s="18"/>
      <c r="L413" s="56">
        <f t="shared" ref="L413:L418" si="27">SUM(F413:K413)</f>
        <v>44960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44960</v>
      </c>
      <c r="K419" s="139">
        <f t="shared" si="28"/>
        <v>0</v>
      </c>
      <c r="L419" s="47">
        <f t="shared" si="28"/>
        <v>44960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>
        <v>1057</v>
      </c>
      <c r="I424" s="18"/>
      <c r="J424" s="18"/>
      <c r="K424" s="18"/>
      <c r="L424" s="56">
        <f t="shared" si="29"/>
        <v>1057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1057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1057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1057</v>
      </c>
      <c r="I434" s="47">
        <f t="shared" si="32"/>
        <v>0</v>
      </c>
      <c r="J434" s="47">
        <f t="shared" si="32"/>
        <v>44960</v>
      </c>
      <c r="K434" s="47">
        <f t="shared" si="32"/>
        <v>0</v>
      </c>
      <c r="L434" s="47">
        <f t="shared" si="32"/>
        <v>46017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181812</v>
      </c>
      <c r="G440" s="18">
        <v>256932.53</v>
      </c>
      <c r="H440" s="18"/>
      <c r="I440" s="56">
        <f t="shared" si="33"/>
        <v>438744.53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181812</v>
      </c>
      <c r="G446" s="13">
        <f>SUM(G439:G445)</f>
        <v>256932.53</v>
      </c>
      <c r="H446" s="13">
        <f>SUM(H439:H445)</f>
        <v>0</v>
      </c>
      <c r="I446" s="13">
        <f>SUM(I439:I445)</f>
        <v>438744.53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181812</v>
      </c>
      <c r="G459" s="18">
        <f>184084.12+2091+70757.41</f>
        <v>256932.53</v>
      </c>
      <c r="H459" s="18"/>
      <c r="I459" s="56">
        <f t="shared" si="34"/>
        <v>438744.53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181812</v>
      </c>
      <c r="G460" s="83">
        <f>SUM(G454:G459)</f>
        <v>256932.53</v>
      </c>
      <c r="H460" s="83">
        <f>SUM(H454:H459)</f>
        <v>0</v>
      </c>
      <c r="I460" s="83">
        <f>SUM(I454:I459)</f>
        <v>438744.53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181812</v>
      </c>
      <c r="G461" s="42">
        <f>G452+G460</f>
        <v>256932.53</v>
      </c>
      <c r="H461" s="42">
        <f>H452+H460</f>
        <v>0</v>
      </c>
      <c r="I461" s="42">
        <f>I452+I460</f>
        <v>438744.53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403535.61</v>
      </c>
      <c r="G465" s="18">
        <v>0</v>
      </c>
      <c r="H465" s="18">
        <v>165.56</v>
      </c>
      <c r="I465" s="18">
        <v>0</v>
      </c>
      <c r="J465" s="18">
        <v>408072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8005150.5</v>
      </c>
      <c r="G468" s="18">
        <v>115210.39</v>
      </c>
      <c r="H468" s="18">
        <v>163395.69</v>
      </c>
      <c r="I468" s="18">
        <v>0</v>
      </c>
      <c r="J468" s="18">
        <f>247+627+10000+645+65000+0+170+0.53</f>
        <v>76689.53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8005150.5</v>
      </c>
      <c r="G470" s="53">
        <f>SUM(G468:G469)</f>
        <v>115210.39</v>
      </c>
      <c r="H470" s="53">
        <f>SUM(H468:H469)</f>
        <v>163395.69</v>
      </c>
      <c r="I470" s="53">
        <f>SUM(I468:I469)</f>
        <v>0</v>
      </c>
      <c r="J470" s="53">
        <f>SUM(J468:J469)</f>
        <v>76689.53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7978420.3799999999</v>
      </c>
      <c r="G472" s="18">
        <v>115210.39</v>
      </c>
      <c r="H472" s="18">
        <v>163222.57999999999</v>
      </c>
      <c r="I472" s="18">
        <v>0</v>
      </c>
      <c r="J472" s="18">
        <v>46017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7978420.3799999999</v>
      </c>
      <c r="G474" s="53">
        <f>SUM(G472:G473)</f>
        <v>115210.39</v>
      </c>
      <c r="H474" s="53">
        <f>SUM(H472:H473)</f>
        <v>163222.57999999999</v>
      </c>
      <c r="I474" s="53">
        <f>SUM(I472:I473)</f>
        <v>0</v>
      </c>
      <c r="J474" s="53">
        <f>SUM(J472:J473)</f>
        <v>46017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430265.72999999952</v>
      </c>
      <c r="G476" s="53">
        <f>(G465+G470)- G474</f>
        <v>0</v>
      </c>
      <c r="H476" s="53">
        <f>(H465+H470)- H474</f>
        <v>338.67000000001281</v>
      </c>
      <c r="I476" s="53">
        <f>(I465+I470)- I474</f>
        <v>0</v>
      </c>
      <c r="J476" s="53">
        <f>(J465+J470)- J474</f>
        <v>438744.53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126899.96+338757.09+27040+49799.88+57285.13+69098.12+26759.98</f>
        <v>695640.16</v>
      </c>
      <c r="G521" s="18">
        <f>201490.66+12711+1874.22+1529.1+31883.42+21161.92+1722.98+2068.56+100.05+3809.52+184.34+22126+462+95.94+200.2+4383.29+9944.64+212.01+7632+573+115.96+241.8+5110.24+11995.36+255.59+2046.98+99.01</f>
        <v>344029.79000000004</v>
      </c>
      <c r="H521" s="18">
        <f>137004.42+13742.03+2850+18924.68+825.2+635.32+2490+2385+209.99+219</f>
        <v>179285.64</v>
      </c>
      <c r="I521" s="18">
        <f>90.16+158.36+831.48+240+3322.08+215+137.51+126.06+230.9+640+236.62+802.86+649.11+354.85+168.39+26.55</f>
        <v>8229.9299999999985</v>
      </c>
      <c r="J521" s="18">
        <f>265+901.02+5118.61+4354.88+1764+647.43+38.94</f>
        <v>13089.88</v>
      </c>
      <c r="K521" s="18"/>
      <c r="L521" s="88">
        <f>SUM(F521:K521)</f>
        <v>1240275.3999999999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630087.62+91106.22</f>
        <v>721193.84</v>
      </c>
      <c r="I523" s="18"/>
      <c r="J523" s="18"/>
      <c r="K523" s="18"/>
      <c r="L523" s="88">
        <f>SUM(F523:K523)</f>
        <v>721193.84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695640.16</v>
      </c>
      <c r="G524" s="108">
        <f t="shared" ref="G524:L524" si="36">SUM(G521:G523)</f>
        <v>344029.79000000004</v>
      </c>
      <c r="H524" s="108">
        <f t="shared" si="36"/>
        <v>900479.48</v>
      </c>
      <c r="I524" s="108">
        <f t="shared" si="36"/>
        <v>8229.9299999999985</v>
      </c>
      <c r="J524" s="108">
        <f t="shared" si="36"/>
        <v>13089.88</v>
      </c>
      <c r="K524" s="108">
        <f t="shared" si="36"/>
        <v>0</v>
      </c>
      <c r="L524" s="89">
        <f t="shared" si="36"/>
        <v>1961469.2399999998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40068</v>
      </c>
      <c r="I531" s="18"/>
      <c r="J531" s="18"/>
      <c r="K531" s="18">
        <f>1584.31+1982.79+61.84</f>
        <v>3628.94</v>
      </c>
      <c r="L531" s="88">
        <f>SUM(F531:K531)</f>
        <v>43696.94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40068</v>
      </c>
      <c r="I534" s="89">
        <f t="shared" si="38"/>
        <v>0</v>
      </c>
      <c r="J534" s="89">
        <f t="shared" si="38"/>
        <v>0</v>
      </c>
      <c r="K534" s="89">
        <f t="shared" si="38"/>
        <v>3628.94</v>
      </c>
      <c r="L534" s="89">
        <f t="shared" si="38"/>
        <v>43696.94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50605.14</v>
      </c>
      <c r="I541" s="18"/>
      <c r="J541" s="18"/>
      <c r="K541" s="18"/>
      <c r="L541" s="88">
        <f>SUM(F541:K541)</f>
        <v>50605.14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39250</v>
      </c>
      <c r="I543" s="18"/>
      <c r="J543" s="18"/>
      <c r="K543" s="18"/>
      <c r="L543" s="88">
        <f>SUM(F543:K543)</f>
        <v>39250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89855.14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89855.14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695640.16</v>
      </c>
      <c r="G545" s="89">
        <f t="shared" ref="G545:L545" si="41">G524+G529+G534+G539+G544</f>
        <v>344029.79000000004</v>
      </c>
      <c r="H545" s="89">
        <f t="shared" si="41"/>
        <v>1030402.62</v>
      </c>
      <c r="I545" s="89">
        <f t="shared" si="41"/>
        <v>8229.9299999999985</v>
      </c>
      <c r="J545" s="89">
        <f t="shared" si="41"/>
        <v>13089.88</v>
      </c>
      <c r="K545" s="89">
        <f t="shared" si="41"/>
        <v>3628.94</v>
      </c>
      <c r="L545" s="89">
        <f t="shared" si="41"/>
        <v>2095021.3199999996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1240275.3999999999</v>
      </c>
      <c r="G549" s="87">
        <f>L526</f>
        <v>0</v>
      </c>
      <c r="H549" s="87">
        <f>L531</f>
        <v>43696.94</v>
      </c>
      <c r="I549" s="87">
        <f>L536</f>
        <v>0</v>
      </c>
      <c r="J549" s="87">
        <f>L541</f>
        <v>50605.14</v>
      </c>
      <c r="K549" s="87">
        <f>SUM(F549:J549)</f>
        <v>1334577.4799999997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721193.84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39250</v>
      </c>
      <c r="K551" s="87">
        <f>SUM(F551:J551)</f>
        <v>760443.84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1961469.2399999998</v>
      </c>
      <c r="G552" s="89">
        <f t="shared" si="42"/>
        <v>0</v>
      </c>
      <c r="H552" s="89">
        <f t="shared" si="42"/>
        <v>43696.94</v>
      </c>
      <c r="I552" s="89">
        <f t="shared" si="42"/>
        <v>0</v>
      </c>
      <c r="J552" s="89">
        <f t="shared" si="42"/>
        <v>89855.14</v>
      </c>
      <c r="K552" s="89">
        <f t="shared" si="42"/>
        <v>2095021.3199999998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1633987.11</v>
      </c>
      <c r="I575" s="87">
        <f>SUM(F575:H575)</f>
        <v>1633987.11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137004.42000000001</v>
      </c>
      <c r="G578" s="18"/>
      <c r="H578" s="18">
        <v>91106.22</v>
      </c>
      <c r="I578" s="87">
        <f t="shared" si="47"/>
        <v>228110.64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13742.03</v>
      </c>
      <c r="G579" s="18"/>
      <c r="H579" s="18">
        <v>630087.62</v>
      </c>
      <c r="I579" s="87">
        <f t="shared" si="47"/>
        <v>643829.65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217359</v>
      </c>
      <c r="I591" s="18"/>
      <c r="J591" s="18">
        <v>70997.63</v>
      </c>
      <c r="K591" s="104">
        <f t="shared" ref="K591:K597" si="48">SUM(H591:J591)</f>
        <v>288356.63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50605.14</v>
      </c>
      <c r="I592" s="18"/>
      <c r="J592" s="18">
        <v>39250</v>
      </c>
      <c r="K592" s="104">
        <f t="shared" si="48"/>
        <v>89855.14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6157.04</v>
      </c>
      <c r="I594" s="18"/>
      <c r="J594" s="18"/>
      <c r="K594" s="104">
        <f t="shared" si="48"/>
        <v>6157.04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2200</v>
      </c>
      <c r="I595" s="18"/>
      <c r="J595" s="18"/>
      <c r="K595" s="104">
        <f t="shared" si="48"/>
        <v>2200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276321.18</v>
      </c>
      <c r="I598" s="108">
        <f>SUM(I591:I597)</f>
        <v>0</v>
      </c>
      <c r="J598" s="108">
        <f>SUM(J591:J597)</f>
        <v>110247.63</v>
      </c>
      <c r="K598" s="108">
        <f>SUM(K591:K597)</f>
        <v>386568.81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6238.03+878.27+5275.69+556.96+282.15+3642.98+899.67+1140+9040.33+265+901.02+5118.61+4354.88+710.57+680.36+679.11+151.5+647.43+38.94+2061.55+10107.69+352.53+11243.09+866.16+35735+1764</f>
        <v>103631.52</v>
      </c>
      <c r="I604" s="18"/>
      <c r="J604" s="18"/>
      <c r="K604" s="104">
        <f>SUM(H604:J604)</f>
        <v>103631.52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103631.52</v>
      </c>
      <c r="I605" s="108">
        <f>SUM(I602:I604)</f>
        <v>0</v>
      </c>
      <c r="J605" s="108">
        <f>SUM(J602:J604)</f>
        <v>0</v>
      </c>
      <c r="K605" s="108">
        <f>SUM(K602:K604)</f>
        <v>103631.52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1620+6240</f>
        <v>7860</v>
      </c>
      <c r="G611" s="18">
        <f>123.92+177.94+7.05+477.36+1083.26+22.05</f>
        <v>1891.58</v>
      </c>
      <c r="H611" s="18">
        <v>1700</v>
      </c>
      <c r="I611" s="18"/>
      <c r="J611" s="18"/>
      <c r="K611" s="18"/>
      <c r="L611" s="88">
        <f>SUM(F611:K611)</f>
        <v>11451.58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7860</v>
      </c>
      <c r="G614" s="108">
        <f t="shared" si="49"/>
        <v>1891.58</v>
      </c>
      <c r="H614" s="108">
        <f t="shared" si="49"/>
        <v>1700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11451.58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465021.24</v>
      </c>
      <c r="H617" s="109">
        <f>SUM(F52)</f>
        <v>465021.24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4020.56</v>
      </c>
      <c r="H618" s="109">
        <f>SUM(G52)</f>
        <v>4020.56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25001.539999999997</v>
      </c>
      <c r="H619" s="109">
        <f>SUM(H52)</f>
        <v>25001.54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438744.53</v>
      </c>
      <c r="H621" s="109">
        <f>SUM(J52)</f>
        <v>438744.53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430265.73</v>
      </c>
      <c r="H622" s="109">
        <f>F476</f>
        <v>430265.72999999952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338.67</v>
      </c>
      <c r="H624" s="109">
        <f>H476</f>
        <v>338.67000000001281</v>
      </c>
      <c r="I624" s="121" t="s">
        <v>103</v>
      </c>
      <c r="J624" s="109">
        <f t="shared" si="50"/>
        <v>-1.2789769243681803E-11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438744.53</v>
      </c>
      <c r="H626" s="109">
        <f>J476</f>
        <v>438744.53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8005150.5</v>
      </c>
      <c r="H627" s="104">
        <f>SUM(F468)</f>
        <v>8005150.5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115210.38999999998</v>
      </c>
      <c r="H628" s="104">
        <f>SUM(G468)</f>
        <v>115210.39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163395.69</v>
      </c>
      <c r="H629" s="104">
        <f>SUM(H468)</f>
        <v>163395.69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76689.53</v>
      </c>
      <c r="H631" s="104">
        <f>SUM(J468)</f>
        <v>76689.53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7978420.3799999999</v>
      </c>
      <c r="H632" s="104">
        <f>SUM(F472)</f>
        <v>7978420.3799999999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163222.57999999999</v>
      </c>
      <c r="H633" s="104">
        <f>SUM(H472)</f>
        <v>163222.57999999999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50431.950000000004</v>
      </c>
      <c r="H634" s="104">
        <f>I369</f>
        <v>50431.95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115210.39</v>
      </c>
      <c r="H635" s="104">
        <f>SUM(G472)</f>
        <v>115210.39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76689.53</v>
      </c>
      <c r="H637" s="164">
        <f>SUM(J468)</f>
        <v>76689.53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46017</v>
      </c>
      <c r="H638" s="164">
        <f>SUM(J472)</f>
        <v>46017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181812</v>
      </c>
      <c r="H639" s="104">
        <f>SUM(F461)</f>
        <v>181812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256932.53</v>
      </c>
      <c r="H640" s="104">
        <f>SUM(G461)</f>
        <v>256932.53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438744.53</v>
      </c>
      <c r="H642" s="104">
        <f>SUM(I461)</f>
        <v>438744.53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1689.53</v>
      </c>
      <c r="H644" s="104">
        <f>H408</f>
        <v>1689.53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76689.53</v>
      </c>
      <c r="H646" s="104">
        <f>L408</f>
        <v>76689.53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386568.81</v>
      </c>
      <c r="H647" s="104">
        <f>L208+L226+L244</f>
        <v>386568.81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103631.52</v>
      </c>
      <c r="H648" s="104">
        <f>(J257+J338)-(J255+J336)</f>
        <v>103631.52000000002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276321.18</v>
      </c>
      <c r="H649" s="104">
        <f>H598</f>
        <v>276321.18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110247.63</v>
      </c>
      <c r="H651" s="104">
        <f>J598</f>
        <v>110247.63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2467.59</v>
      </c>
      <c r="H652" s="104">
        <f>K263+K345</f>
        <v>2467.59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5624457.1799999997</v>
      </c>
      <c r="G660" s="19">
        <f>(L229+L309+L359)</f>
        <v>0</v>
      </c>
      <c r="H660" s="19">
        <f>(L247+L328+L360)</f>
        <v>2465428.58</v>
      </c>
      <c r="I660" s="19">
        <f>SUM(F660:H660)</f>
        <v>8089885.7599999998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64319.83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64319.83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276321.18</v>
      </c>
      <c r="G662" s="19">
        <f>(L226+L306)-(J226+J306)</f>
        <v>0</v>
      </c>
      <c r="H662" s="19">
        <f>(L244+L325)-(J244+J325)</f>
        <v>110247.63</v>
      </c>
      <c r="I662" s="19">
        <f>SUM(F662:H662)</f>
        <v>386568.81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265829.55000000005</v>
      </c>
      <c r="G663" s="199">
        <f>SUM(G575:G587)+SUM(I602:I604)+L612</f>
        <v>0</v>
      </c>
      <c r="H663" s="199">
        <f>SUM(H575:H587)+SUM(J602:J604)+L613</f>
        <v>2355180.9500000002</v>
      </c>
      <c r="I663" s="19">
        <f>SUM(F663:H663)</f>
        <v>2621010.5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5017986.6199999992</v>
      </c>
      <c r="G664" s="19">
        <f>G660-SUM(G661:G663)</f>
        <v>0</v>
      </c>
      <c r="H664" s="19">
        <f>H660-SUM(H661:H663)</f>
        <v>0</v>
      </c>
      <c r="I664" s="19">
        <f>I660-SUM(I661:I663)</f>
        <v>5017986.6199999992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281.58</v>
      </c>
      <c r="G665" s="248"/>
      <c r="H665" s="248"/>
      <c r="I665" s="19">
        <f>SUM(F665:H665)</f>
        <v>281.58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17820.82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17820.82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17820.82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17820.82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Chesterfield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1578961.79</v>
      </c>
      <c r="C9" s="229">
        <f>'DOE25'!G197+'DOE25'!G215+'DOE25'!G233+'DOE25'!G276+'DOE25'!G295+'DOE25'!G314</f>
        <v>688315.32000000007</v>
      </c>
    </row>
    <row r="10" spans="1:3" x14ac:dyDescent="0.2">
      <c r="A10" t="s">
        <v>773</v>
      </c>
      <c r="B10" s="240">
        <v>1528719.06</v>
      </c>
      <c r="C10" s="240">
        <v>679050.5</v>
      </c>
    </row>
    <row r="11" spans="1:3" x14ac:dyDescent="0.2">
      <c r="A11" t="s">
        <v>774</v>
      </c>
      <c r="B11" s="240">
        <v>21253.040000000001</v>
      </c>
      <c r="C11" s="240">
        <v>9264.82</v>
      </c>
    </row>
    <row r="12" spans="1:3" x14ac:dyDescent="0.2">
      <c r="A12" t="s">
        <v>775</v>
      </c>
      <c r="B12" s="240">
        <v>28989.69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1578961.79</v>
      </c>
      <c r="C13" s="231">
        <f>SUM(C10:C12)</f>
        <v>688315.32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491311.29</v>
      </c>
      <c r="C18" s="229">
        <f>'DOE25'!G198+'DOE25'!G216+'DOE25'!G234+'DOE25'!G277+'DOE25'!G296+'DOE25'!G315</f>
        <v>274430.7</v>
      </c>
    </row>
    <row r="19" spans="1:3" x14ac:dyDescent="0.2">
      <c r="A19" t="s">
        <v>773</v>
      </c>
      <c r="B19" s="240">
        <v>152554.20000000001</v>
      </c>
      <c r="C19" s="240">
        <v>85211.87</v>
      </c>
    </row>
    <row r="20" spans="1:3" x14ac:dyDescent="0.2">
      <c r="A20" t="s">
        <v>774</v>
      </c>
      <c r="B20" s="240">
        <v>338757.09</v>
      </c>
      <c r="C20" s="240">
        <v>189218.83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491311.29000000004</v>
      </c>
      <c r="C22" s="231">
        <f>SUM(C19:C21)</f>
        <v>274430.69999999995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20609.97</v>
      </c>
      <c r="C36" s="235">
        <f>'DOE25'!G200+'DOE25'!G218+'DOE25'!G236+'DOE25'!G279+'DOE25'!G298+'DOE25'!G317</f>
        <v>3935.9700000000003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>
        <v>20609.97</v>
      </c>
      <c r="C38" s="240">
        <v>3935.97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20609.97</v>
      </c>
      <c r="C40" s="231">
        <f>SUM(C37:C39)</f>
        <v>3935.97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Chesterfield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5628225.4600000009</v>
      </c>
      <c r="D5" s="20">
        <f>SUM('DOE25'!L197:L200)+SUM('DOE25'!L215:L218)+SUM('DOE25'!L233:L236)-F5-G5</f>
        <v>5610027.8400000017</v>
      </c>
      <c r="E5" s="243"/>
      <c r="F5" s="255">
        <f>SUM('DOE25'!J197:J200)+SUM('DOE25'!J215:J218)+SUM('DOE25'!J233:J236)</f>
        <v>13659.52</v>
      </c>
      <c r="G5" s="53">
        <f>SUM('DOE25'!K197:K200)+SUM('DOE25'!K215:K218)+SUM('DOE25'!K233:K236)</f>
        <v>4538.1000000000004</v>
      </c>
      <c r="H5" s="259"/>
    </row>
    <row r="6" spans="1:9" x14ac:dyDescent="0.2">
      <c r="A6" s="32">
        <v>2100</v>
      </c>
      <c r="B6" t="s">
        <v>795</v>
      </c>
      <c r="C6" s="245">
        <f t="shared" si="0"/>
        <v>463294.27999999997</v>
      </c>
      <c r="D6" s="20">
        <f>'DOE25'!L202+'DOE25'!L220+'DOE25'!L238-F6-G6</f>
        <v>461096.93999999994</v>
      </c>
      <c r="E6" s="243"/>
      <c r="F6" s="255">
        <f>'DOE25'!J202+'DOE25'!J220+'DOE25'!J238</f>
        <v>2197.34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154637.87</v>
      </c>
      <c r="D7" s="20">
        <f>'DOE25'!L203+'DOE25'!L221+'DOE25'!L239-F7-G7</f>
        <v>141580.11000000002</v>
      </c>
      <c r="E7" s="243"/>
      <c r="F7" s="255">
        <f>'DOE25'!J203+'DOE25'!J221+'DOE25'!J239</f>
        <v>12521.77</v>
      </c>
      <c r="G7" s="53">
        <f>'DOE25'!K203+'DOE25'!K221+'DOE25'!K239</f>
        <v>535.99</v>
      </c>
      <c r="H7" s="259"/>
    </row>
    <row r="8" spans="1:9" x14ac:dyDescent="0.2">
      <c r="A8" s="32">
        <v>2300</v>
      </c>
      <c r="B8" t="s">
        <v>796</v>
      </c>
      <c r="C8" s="245">
        <f t="shared" si="0"/>
        <v>368252.99999999994</v>
      </c>
      <c r="D8" s="243"/>
      <c r="E8" s="20">
        <f>'DOE25'!L204+'DOE25'!L222+'DOE25'!L240-F8-G8-D9-D11</f>
        <v>364624.00999999995</v>
      </c>
      <c r="F8" s="255">
        <f>'DOE25'!J204+'DOE25'!J222+'DOE25'!J240</f>
        <v>0</v>
      </c>
      <c r="G8" s="53">
        <f>'DOE25'!K204+'DOE25'!K222+'DOE25'!K240</f>
        <v>3628.99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17993.400000000001</v>
      </c>
      <c r="D9" s="244">
        <f>9763.69+150+3539.82+490.5+4049.39</f>
        <v>17993.400000000001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10050</v>
      </c>
      <c r="D10" s="243"/>
      <c r="E10" s="244">
        <v>10050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66439</v>
      </c>
      <c r="D11" s="244">
        <v>66439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252860.46000000005</v>
      </c>
      <c r="D12" s="20">
        <f>'DOE25'!L205+'DOE25'!L223+'DOE25'!L241-F12-G12</f>
        <v>252315.46000000005</v>
      </c>
      <c r="E12" s="243"/>
      <c r="F12" s="255">
        <f>'DOE25'!J205+'DOE25'!J223+'DOE25'!J241</f>
        <v>0</v>
      </c>
      <c r="G12" s="53">
        <f>'DOE25'!K205+'DOE25'!K223+'DOE25'!K241</f>
        <v>545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413695.97</v>
      </c>
      <c r="D14" s="20">
        <f>'DOE25'!L207+'DOE25'!L225+'DOE25'!L243-F14-G14</f>
        <v>401586.72</v>
      </c>
      <c r="E14" s="243"/>
      <c r="F14" s="255">
        <f>'DOE25'!J207+'DOE25'!J225+'DOE25'!J243</f>
        <v>12109.25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386568.81</v>
      </c>
      <c r="D15" s="20">
        <f>'DOE25'!L208+'DOE25'!L226+'DOE25'!L244-F15-G15</f>
        <v>386568.81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59484.54</v>
      </c>
      <c r="D16" s="243"/>
      <c r="E16" s="20">
        <f>'DOE25'!L209+'DOE25'!L227+'DOE25'!L245-F16-G16</f>
        <v>23749.54</v>
      </c>
      <c r="F16" s="255">
        <f>'DOE25'!J209+'DOE25'!J227+'DOE25'!J245</f>
        <v>35735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89500</v>
      </c>
      <c r="D22" s="243"/>
      <c r="E22" s="243"/>
      <c r="F22" s="255">
        <f>'DOE25'!L255+'DOE25'!L336</f>
        <v>89500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64778.44</v>
      </c>
      <c r="D29" s="20">
        <f>'DOE25'!L358+'DOE25'!L359+'DOE25'!L360-'DOE25'!I367-F29-G29</f>
        <v>64453.440000000002</v>
      </c>
      <c r="E29" s="243"/>
      <c r="F29" s="255">
        <f>'DOE25'!J358+'DOE25'!J359+'DOE25'!J360</f>
        <v>0</v>
      </c>
      <c r="G29" s="53">
        <f>'DOE25'!K358+'DOE25'!K359+'DOE25'!K360</f>
        <v>325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163222.58000000002</v>
      </c>
      <c r="D31" s="20">
        <f>'DOE25'!L290+'DOE25'!L309+'DOE25'!L328+'DOE25'!L333+'DOE25'!L334+'DOE25'!L335-F31-G31</f>
        <v>128997.31</v>
      </c>
      <c r="E31" s="243"/>
      <c r="F31" s="255">
        <f>'DOE25'!J290+'DOE25'!J309+'DOE25'!J328+'DOE25'!J333+'DOE25'!J334+'DOE25'!J335</f>
        <v>27408.639999999999</v>
      </c>
      <c r="G31" s="53">
        <f>'DOE25'!K290+'DOE25'!K309+'DOE25'!K328+'DOE25'!K333+'DOE25'!K334+'DOE25'!K335</f>
        <v>6816.6299999999992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7531059.0300000012</v>
      </c>
      <c r="E33" s="246">
        <f>SUM(E5:E31)</f>
        <v>398423.54999999993</v>
      </c>
      <c r="F33" s="246">
        <f>SUM(F5:F31)</f>
        <v>193131.52000000002</v>
      </c>
      <c r="G33" s="246">
        <f>SUM(G5:G31)</f>
        <v>16389.71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398423.54999999993</v>
      </c>
      <c r="E35" s="249"/>
    </row>
    <row r="36" spans="2:8" ht="12" thickTop="1" x14ac:dyDescent="0.2">
      <c r="B36" t="s">
        <v>809</v>
      </c>
      <c r="D36" s="20">
        <f>D33</f>
        <v>7531059.0300000012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375524.56</v>
      </c>
      <c r="D8" s="95">
        <f>'DOE25'!G9</f>
        <v>781.73</v>
      </c>
      <c r="E8" s="95">
        <f>'DOE25'!H9</f>
        <v>338.67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438744.53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21778.880000000001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67267.8</v>
      </c>
      <c r="D12" s="95">
        <f>'DOE25'!G13</f>
        <v>2577.7199999999998</v>
      </c>
      <c r="E12" s="95">
        <f>'DOE25'!H13</f>
        <v>24662.87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661.11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465021.24</v>
      </c>
      <c r="D18" s="41">
        <f>SUM(D8:D17)</f>
        <v>4020.56</v>
      </c>
      <c r="E18" s="41">
        <f>SUM(E8:E17)</f>
        <v>25001.539999999997</v>
      </c>
      <c r="F18" s="41">
        <f>SUM(F8:F17)</f>
        <v>0</v>
      </c>
      <c r="G18" s="41">
        <f>SUM(G8:G17)</f>
        <v>438744.53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21778.880000000001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1552.68</v>
      </c>
      <c r="D22" s="95">
        <f>'DOE25'!G23</f>
        <v>0</v>
      </c>
      <c r="E22" s="95">
        <f>'DOE25'!H23</f>
        <v>2111.63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30109.61</v>
      </c>
      <c r="D23" s="95">
        <f>'DOE25'!G24</f>
        <v>0</v>
      </c>
      <c r="E23" s="95">
        <f>'DOE25'!H24</f>
        <v>772.36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3093.22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4020.56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34755.51</v>
      </c>
      <c r="D31" s="41">
        <f>SUM(D21:D30)</f>
        <v>4020.56</v>
      </c>
      <c r="E31" s="41">
        <f>SUM(E21:E30)</f>
        <v>24662.870000000003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450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338.67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52580.53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438744.53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377235.20000000001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430265.73</v>
      </c>
      <c r="D50" s="41">
        <f>SUM(D34:D49)</f>
        <v>0</v>
      </c>
      <c r="E50" s="41">
        <f>SUM(E34:E49)</f>
        <v>338.67</v>
      </c>
      <c r="F50" s="41">
        <f>SUM(F34:F49)</f>
        <v>0</v>
      </c>
      <c r="G50" s="41">
        <f>SUM(G34:G49)</f>
        <v>438744.53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465021.24</v>
      </c>
      <c r="D51" s="41">
        <f>D50+D31</f>
        <v>4020.56</v>
      </c>
      <c r="E51" s="41">
        <f>E50+E31</f>
        <v>25001.54</v>
      </c>
      <c r="F51" s="41">
        <f>F50+F31</f>
        <v>0</v>
      </c>
      <c r="G51" s="41">
        <f>G50+G31</f>
        <v>438744.53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5819646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59218.92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691.51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1689.53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64319.83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81244.260000000009</v>
      </c>
      <c r="D61" s="95">
        <f>SUM('DOE25'!G98:G110)</f>
        <v>0</v>
      </c>
      <c r="E61" s="95">
        <f>SUM('DOE25'!H98:H110)</f>
        <v>2334.44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141154.69</v>
      </c>
      <c r="D62" s="130">
        <f>SUM(D57:D61)</f>
        <v>64319.83</v>
      </c>
      <c r="E62" s="130">
        <f>SUM(E57:E61)</f>
        <v>2334.44</v>
      </c>
      <c r="F62" s="130">
        <f>SUM(F57:F61)</f>
        <v>0</v>
      </c>
      <c r="G62" s="130">
        <f>SUM(G57:G61)</f>
        <v>1689.53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5960800.6900000004</v>
      </c>
      <c r="D63" s="22">
        <f>D56+D62</f>
        <v>64319.83</v>
      </c>
      <c r="E63" s="22">
        <f>E56+E62</f>
        <v>2334.44</v>
      </c>
      <c r="F63" s="22">
        <f>F56+F62</f>
        <v>0</v>
      </c>
      <c r="G63" s="22">
        <f>G56+G62</f>
        <v>1689.53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759582.94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1120860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6096.48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1886539.42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117131.45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1610.2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117131.45</v>
      </c>
      <c r="D78" s="130">
        <f>SUM(D72:D77)</f>
        <v>1610.2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2003670.8699999999</v>
      </c>
      <c r="D81" s="130">
        <f>SUM(D79:D80)+D78+D70</f>
        <v>1610.2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14980.349999999999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40678.94</v>
      </c>
      <c r="D88" s="95">
        <f>SUM('DOE25'!G153:G161)</f>
        <v>46812.77</v>
      </c>
      <c r="E88" s="95">
        <f>SUM('DOE25'!H153:H161)</f>
        <v>146080.9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40678.94</v>
      </c>
      <c r="D91" s="131">
        <f>SUM(D85:D90)</f>
        <v>46812.77</v>
      </c>
      <c r="E91" s="131">
        <f>SUM(E85:E90)</f>
        <v>161061.25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2467.59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2467.59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8005150.5000000009</v>
      </c>
      <c r="D104" s="86">
        <f>D63+D81+D91+D103</f>
        <v>115210.38999999998</v>
      </c>
      <c r="E104" s="86">
        <f>E63+E81+E91+E103</f>
        <v>163395.69</v>
      </c>
      <c r="F104" s="86">
        <f>F63+F81+F91+F103</f>
        <v>0</v>
      </c>
      <c r="G104" s="86">
        <f>G63+G81+G103</f>
        <v>76689.53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3944503.3900000006</v>
      </c>
      <c r="D109" s="24" t="s">
        <v>286</v>
      </c>
      <c r="E109" s="95">
        <f>('DOE25'!L276)+('DOE25'!L295)+('DOE25'!L314)</f>
        <v>39794.57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1637930.7999999998</v>
      </c>
      <c r="D110" s="24" t="s">
        <v>286</v>
      </c>
      <c r="E110" s="95">
        <f>('DOE25'!L277)+('DOE25'!L296)+('DOE25'!L315)</f>
        <v>18383.159999999996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45791.27</v>
      </c>
      <c r="D112" s="24" t="s">
        <v>286</v>
      </c>
      <c r="E112" s="95">
        <f>+('DOE25'!L279)+('DOE25'!L298)+('DOE25'!L317)</f>
        <v>9522.67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5628225.46</v>
      </c>
      <c r="D115" s="86">
        <f>SUM(D109:D114)</f>
        <v>0</v>
      </c>
      <c r="E115" s="86">
        <f>SUM(E109:E114)</f>
        <v>67700.399999999994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463294.27999999997</v>
      </c>
      <c r="D118" s="24" t="s">
        <v>286</v>
      </c>
      <c r="E118" s="95">
        <f>+('DOE25'!L281)+('DOE25'!L300)+('DOE25'!L319)</f>
        <v>30517.460000000003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154637.87</v>
      </c>
      <c r="D119" s="24" t="s">
        <v>286</v>
      </c>
      <c r="E119" s="95">
        <f>+('DOE25'!L282)+('DOE25'!L301)+('DOE25'!L320)</f>
        <v>54303.99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452685.39999999997</v>
      </c>
      <c r="D120" s="24" t="s">
        <v>286</v>
      </c>
      <c r="E120" s="95">
        <f>+('DOE25'!L283)+('DOE25'!L302)+('DOE25'!L321)</f>
        <v>4000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252860.46000000005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6540.0199999999995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413695.97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386568.81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59484.54</v>
      </c>
      <c r="D125" s="24" t="s">
        <v>286</v>
      </c>
      <c r="E125" s="95">
        <f>+('DOE25'!L288)+('DOE25'!L307)+('DOE25'!L326)</f>
        <v>160.71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115210.39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2183227.3299999996</v>
      </c>
      <c r="D128" s="86">
        <f>SUM(D118:D127)</f>
        <v>115210.39</v>
      </c>
      <c r="E128" s="86">
        <f>SUM(E118:E127)</f>
        <v>95522.180000000008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89500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2467.59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65645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11044.53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-1689.5299999999988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166967.59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7978420.379999999</v>
      </c>
      <c r="D145" s="86">
        <f>(D115+D128+D144)</f>
        <v>115210.39</v>
      </c>
      <c r="E145" s="86">
        <f>(E115+E128+E144)</f>
        <v>163222.58000000002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Chesterfield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17821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17821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3984298</v>
      </c>
      <c r="D10" s="182">
        <f>ROUND((C10/$C$28)*100,1)</f>
        <v>49.6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1656314</v>
      </c>
      <c r="D11" s="182">
        <f>ROUND((C11/$C$28)*100,1)</f>
        <v>20.6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55314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493812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208942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516331</v>
      </c>
      <c r="D17" s="182">
        <f t="shared" si="0"/>
        <v>6.4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252860</v>
      </c>
      <c r="D18" s="182">
        <f t="shared" si="0"/>
        <v>3.2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6540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413696</v>
      </c>
      <c r="D20" s="182">
        <f t="shared" si="0"/>
        <v>5.2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386569</v>
      </c>
      <c r="D21" s="182">
        <f t="shared" si="0"/>
        <v>4.8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50890.17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8025566.1699999999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89500</v>
      </c>
    </row>
    <row r="30" spans="1:4" x14ac:dyDescent="0.2">
      <c r="B30" s="187" t="s">
        <v>723</v>
      </c>
      <c r="C30" s="180">
        <f>SUM(C28:C29)</f>
        <v>8115066.1699999999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5819646</v>
      </c>
      <c r="D35" s="182">
        <f t="shared" ref="D35:D40" si="1">ROUND((C35/$C$41)*100,1)</f>
        <v>70.8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145178.66000000015</v>
      </c>
      <c r="D36" s="182">
        <f t="shared" si="1"/>
        <v>1.8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1880443</v>
      </c>
      <c r="D37" s="182">
        <f t="shared" si="1"/>
        <v>22.9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124838</v>
      </c>
      <c r="D38" s="182">
        <f t="shared" si="1"/>
        <v>1.5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248553</v>
      </c>
      <c r="D39" s="182">
        <f t="shared" si="1"/>
        <v>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8218658.6600000001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Chesterfield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2018-11-13T19:29:44Z</dcterms:modified>
</cp:coreProperties>
</file>