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1600" windowHeight="95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28" i="12" l="1"/>
  <c r="F502" i="1" l="1"/>
  <c r="F499" i="1"/>
  <c r="F495" i="1"/>
  <c r="F498" i="1" s="1"/>
  <c r="H582" i="1"/>
  <c r="G582" i="1"/>
  <c r="F582" i="1"/>
  <c r="J591" i="1"/>
  <c r="I591" i="1"/>
  <c r="H591" i="1"/>
  <c r="H208" i="1"/>
  <c r="H198" i="1"/>
  <c r="H234" i="1"/>
  <c r="H244" i="1"/>
  <c r="H226" i="1"/>
  <c r="H216" i="1"/>
  <c r="I611" i="1"/>
  <c r="F29" i="1"/>
  <c r="F49" i="1"/>
  <c r="F9" i="1"/>
  <c r="G13" i="1"/>
  <c r="K27" i="14"/>
  <c r="H24" i="1"/>
  <c r="H29" i="1"/>
  <c r="H22" i="1"/>
  <c r="H13" i="1"/>
  <c r="H155" i="1"/>
  <c r="K21" i="14"/>
  <c r="K285" i="1"/>
  <c r="A1" i="14" l="1"/>
  <c r="G97" i="1" l="1"/>
  <c r="G179" i="1"/>
  <c r="H207" i="1"/>
  <c r="H225" i="1"/>
  <c r="H243" i="1"/>
  <c r="F110" i="1" l="1"/>
  <c r="F160" i="1"/>
  <c r="F96" i="1"/>
  <c r="C45" i="2" l="1"/>
  <c r="G51" i="1"/>
  <c r="C37" i="10" l="1"/>
  <c r="F40" i="2" l="1"/>
  <c r="D39" i="2"/>
  <c r="G655" i="1"/>
  <c r="F48" i="2"/>
  <c r="E48" i="2"/>
  <c r="D48" i="2"/>
  <c r="C48" i="2"/>
  <c r="F47" i="2"/>
  <c r="D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D17" i="13" s="1"/>
  <c r="C17" i="13" s="1"/>
  <c r="F18" i="13"/>
  <c r="G18" i="13"/>
  <c r="L252" i="1"/>
  <c r="F19" i="13"/>
  <c r="G19" i="13"/>
  <c r="L253" i="1"/>
  <c r="F29" i="13"/>
  <c r="G29" i="13"/>
  <c r="L358" i="1"/>
  <c r="L359" i="1"/>
  <c r="L360" i="1"/>
  <c r="F661" i="1" s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E123" i="2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E131" i="2" s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C57" i="2" s="1"/>
  <c r="F94" i="1"/>
  <c r="C58" i="2" s="1"/>
  <c r="F111" i="1"/>
  <c r="G111" i="1"/>
  <c r="H79" i="1"/>
  <c r="E57" i="2" s="1"/>
  <c r="H94" i="1"/>
  <c r="H112" i="1" s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H169" i="1" s="1"/>
  <c r="I147" i="1"/>
  <c r="F85" i="2" s="1"/>
  <c r="I162" i="1"/>
  <c r="L250" i="1"/>
  <c r="L332" i="1"/>
  <c r="E113" i="2" s="1"/>
  <c r="L254" i="1"/>
  <c r="L268" i="1"/>
  <c r="L269" i="1"/>
  <c r="L349" i="1"/>
  <c r="E142" i="2" s="1"/>
  <c r="L350" i="1"/>
  <c r="E143" i="2" s="1"/>
  <c r="I665" i="1"/>
  <c r="I670" i="1"/>
  <c r="I669" i="1"/>
  <c r="C42" i="10"/>
  <c r="L374" i="1"/>
  <c r="L375" i="1"/>
  <c r="F130" i="2" s="1"/>
  <c r="L376" i="1"/>
  <c r="C29" i="10" s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2" i="2"/>
  <c r="C113" i="2"/>
  <c r="D115" i="2"/>
  <c r="F115" i="2"/>
  <c r="G115" i="2"/>
  <c r="E120" i="2"/>
  <c r="E121" i="2"/>
  <c r="E124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G52" i="1" s="1"/>
  <c r="H618" i="1" s="1"/>
  <c r="H32" i="1"/>
  <c r="E47" i="2" s="1"/>
  <c r="I32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F408" i="1"/>
  <c r="G408" i="1"/>
  <c r="H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F461" i="1" s="1"/>
  <c r="H639" i="1" s="1"/>
  <c r="G452" i="1"/>
  <c r="H452" i="1"/>
  <c r="H461" i="1" s="1"/>
  <c r="H641" i="1" s="1"/>
  <c r="J641" i="1" s="1"/>
  <c r="F460" i="1"/>
  <c r="G460" i="1"/>
  <c r="G461" i="1" s="1"/>
  <c r="H640" i="1" s="1"/>
  <c r="H460" i="1"/>
  <c r="I470" i="1"/>
  <c r="J470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G545" i="1" s="1"/>
  <c r="H534" i="1"/>
  <c r="I534" i="1"/>
  <c r="J534" i="1"/>
  <c r="K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5" i="1" s="1"/>
  <c r="L564" i="1"/>
  <c r="F565" i="1"/>
  <c r="F571" i="1" s="1"/>
  <c r="G565" i="1"/>
  <c r="H565" i="1"/>
  <c r="H571" i="1" s="1"/>
  <c r="I565" i="1"/>
  <c r="J565" i="1"/>
  <c r="J571" i="1" s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3" i="1"/>
  <c r="H630" i="1"/>
  <c r="H631" i="1"/>
  <c r="H636" i="1"/>
  <c r="H637" i="1"/>
  <c r="H638" i="1"/>
  <c r="G640" i="1"/>
  <c r="G641" i="1"/>
  <c r="G643" i="1"/>
  <c r="H643" i="1"/>
  <c r="G644" i="1"/>
  <c r="G645" i="1"/>
  <c r="G651" i="1"/>
  <c r="G652" i="1"/>
  <c r="H652" i="1"/>
  <c r="G653" i="1"/>
  <c r="H653" i="1"/>
  <c r="G654" i="1"/>
  <c r="H654" i="1"/>
  <c r="H655" i="1"/>
  <c r="L351" i="1"/>
  <c r="D18" i="13"/>
  <c r="C18" i="13" s="1"/>
  <c r="D14" i="13"/>
  <c r="C14" i="13" s="1"/>
  <c r="K571" i="1"/>
  <c r="J643" i="1"/>
  <c r="I476" i="1"/>
  <c r="H625" i="1" s="1"/>
  <c r="G22" i="2"/>
  <c r="F22" i="13"/>
  <c r="C22" i="13" s="1"/>
  <c r="L560" i="1"/>
  <c r="G192" i="1"/>
  <c r="C35" i="10"/>
  <c r="J655" i="1"/>
  <c r="G36" i="2"/>
  <c r="C70" i="2" l="1"/>
  <c r="G552" i="1"/>
  <c r="I552" i="1"/>
  <c r="H51" i="1"/>
  <c r="E103" i="2"/>
  <c r="L270" i="1"/>
  <c r="E114" i="2"/>
  <c r="J338" i="1"/>
  <c r="J352" i="1" s="1"/>
  <c r="E118" i="2"/>
  <c r="C12" i="10"/>
  <c r="F338" i="1"/>
  <c r="F352" i="1" s="1"/>
  <c r="E122" i="2"/>
  <c r="D50" i="2"/>
  <c r="G62" i="2"/>
  <c r="F18" i="2"/>
  <c r="G164" i="2"/>
  <c r="G157" i="2"/>
  <c r="E31" i="2"/>
  <c r="E119" i="2"/>
  <c r="G338" i="1"/>
  <c r="G352" i="1" s="1"/>
  <c r="E110" i="2"/>
  <c r="H338" i="1"/>
  <c r="H352" i="1" s="1"/>
  <c r="J545" i="1"/>
  <c r="J625" i="1"/>
  <c r="J644" i="1"/>
  <c r="J651" i="1"/>
  <c r="L539" i="1"/>
  <c r="K545" i="1"/>
  <c r="H192" i="1"/>
  <c r="F192" i="1"/>
  <c r="D62" i="2"/>
  <c r="D63" i="2" s="1"/>
  <c r="J649" i="1"/>
  <c r="C17" i="10"/>
  <c r="K598" i="1"/>
  <c r="G647" i="1" s="1"/>
  <c r="H545" i="1"/>
  <c r="I52" i="1"/>
  <c r="H620" i="1" s="1"/>
  <c r="E78" i="2"/>
  <c r="E81" i="2" s="1"/>
  <c r="E58" i="2"/>
  <c r="E62" i="2" s="1"/>
  <c r="E63" i="2" s="1"/>
  <c r="J552" i="1"/>
  <c r="H552" i="1"/>
  <c r="K549" i="1"/>
  <c r="I169" i="1"/>
  <c r="G625" i="1"/>
  <c r="L433" i="1"/>
  <c r="L419" i="1"/>
  <c r="L434" i="1" s="1"/>
  <c r="G638" i="1" s="1"/>
  <c r="J638" i="1" s="1"/>
  <c r="G161" i="2"/>
  <c r="G156" i="2"/>
  <c r="H662" i="1"/>
  <c r="K605" i="1"/>
  <c r="G648" i="1" s="1"/>
  <c r="J640" i="1"/>
  <c r="J476" i="1"/>
  <c r="H626" i="1" s="1"/>
  <c r="C25" i="10"/>
  <c r="C32" i="10"/>
  <c r="C125" i="2"/>
  <c r="H647" i="1"/>
  <c r="F662" i="1"/>
  <c r="C21" i="10"/>
  <c r="C20" i="10"/>
  <c r="C122" i="2"/>
  <c r="C18" i="10"/>
  <c r="J257" i="1"/>
  <c r="J271" i="1" s="1"/>
  <c r="D12" i="13"/>
  <c r="C12" i="13" s="1"/>
  <c r="C121" i="2"/>
  <c r="H257" i="1"/>
  <c r="H271" i="1" s="1"/>
  <c r="C120" i="2"/>
  <c r="E8" i="13"/>
  <c r="C8" i="13" s="1"/>
  <c r="D7" i="13"/>
  <c r="C7" i="13" s="1"/>
  <c r="C15" i="10"/>
  <c r="C118" i="2"/>
  <c r="C114" i="2"/>
  <c r="C124" i="2"/>
  <c r="D19" i="13"/>
  <c r="C19" i="13" s="1"/>
  <c r="K257" i="1"/>
  <c r="K271" i="1" s="1"/>
  <c r="A40" i="12"/>
  <c r="C13" i="10"/>
  <c r="C111" i="2"/>
  <c r="A31" i="12"/>
  <c r="L229" i="1"/>
  <c r="C110" i="2"/>
  <c r="I257" i="1"/>
  <c r="I271" i="1" s="1"/>
  <c r="C109" i="2"/>
  <c r="C10" i="10"/>
  <c r="D5" i="13"/>
  <c r="C5" i="13" s="1"/>
  <c r="L247" i="1"/>
  <c r="G257" i="1"/>
  <c r="G271" i="1" s="1"/>
  <c r="F257" i="1"/>
  <c r="F271" i="1" s="1"/>
  <c r="A13" i="12"/>
  <c r="D127" i="2"/>
  <c r="D128" i="2" s="1"/>
  <c r="H661" i="1"/>
  <c r="I661" i="1" s="1"/>
  <c r="L362" i="1"/>
  <c r="G472" i="1" s="1"/>
  <c r="G661" i="1"/>
  <c r="D145" i="2"/>
  <c r="L328" i="1"/>
  <c r="L309" i="1"/>
  <c r="E109" i="2"/>
  <c r="L290" i="1"/>
  <c r="D81" i="2"/>
  <c r="D91" i="2"/>
  <c r="C91" i="2"/>
  <c r="H52" i="1"/>
  <c r="H619" i="1" s="1"/>
  <c r="J619" i="1" s="1"/>
  <c r="D31" i="2"/>
  <c r="D51" i="2" s="1"/>
  <c r="D18" i="2"/>
  <c r="C18" i="2"/>
  <c r="J645" i="1"/>
  <c r="J639" i="1"/>
  <c r="K551" i="1"/>
  <c r="E16" i="13"/>
  <c r="F552" i="1"/>
  <c r="H25" i="13"/>
  <c r="F112" i="1"/>
  <c r="C36" i="10" s="1"/>
  <c r="G624" i="1"/>
  <c r="L534" i="1"/>
  <c r="K500" i="1"/>
  <c r="I460" i="1"/>
  <c r="I452" i="1"/>
  <c r="I446" i="1"/>
  <c r="G642" i="1" s="1"/>
  <c r="C123" i="2"/>
  <c r="C119" i="2"/>
  <c r="C112" i="2"/>
  <c r="C78" i="2"/>
  <c r="C81" i="2" s="1"/>
  <c r="L211" i="1"/>
  <c r="C16" i="10"/>
  <c r="C11" i="10"/>
  <c r="K550" i="1"/>
  <c r="K503" i="1"/>
  <c r="L382" i="1"/>
  <c r="G636" i="1" s="1"/>
  <c r="J636" i="1" s="1"/>
  <c r="K338" i="1"/>
  <c r="K352" i="1" s="1"/>
  <c r="G81" i="2"/>
  <c r="C62" i="2"/>
  <c r="C63" i="2" s="1"/>
  <c r="G662" i="1"/>
  <c r="C19" i="10"/>
  <c r="G112" i="1"/>
  <c r="D29" i="13"/>
  <c r="C29" i="13" s="1"/>
  <c r="C26" i="10"/>
  <c r="G650" i="1"/>
  <c r="J650" i="1" s="1"/>
  <c r="E13" i="13"/>
  <c r="C13" i="13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A22" i="12"/>
  <c r="H646" i="1"/>
  <c r="J652" i="1"/>
  <c r="G571" i="1"/>
  <c r="I434" i="1"/>
  <c r="G434" i="1"/>
  <c r="I663" i="1"/>
  <c r="C27" i="10"/>
  <c r="G635" i="1"/>
  <c r="J647" i="1" l="1"/>
  <c r="E128" i="2"/>
  <c r="F104" i="2"/>
  <c r="E115" i="2"/>
  <c r="L338" i="1"/>
  <c r="L352" i="1" s="1"/>
  <c r="G633" i="1" s="1"/>
  <c r="G51" i="2"/>
  <c r="L545" i="1"/>
  <c r="I193" i="1"/>
  <c r="G630" i="1" s="1"/>
  <c r="J630" i="1" s="1"/>
  <c r="J635" i="1"/>
  <c r="E104" i="2"/>
  <c r="G474" i="1"/>
  <c r="H635" i="1"/>
  <c r="G660" i="1"/>
  <c r="G664" i="1" s="1"/>
  <c r="G667" i="1" s="1"/>
  <c r="G629" i="1"/>
  <c r="H468" i="1"/>
  <c r="I662" i="1"/>
  <c r="H648" i="1"/>
  <c r="J648" i="1" s="1"/>
  <c r="C128" i="2"/>
  <c r="L257" i="1"/>
  <c r="L271" i="1" s="1"/>
  <c r="C28" i="10"/>
  <c r="D25" i="10" s="1"/>
  <c r="C115" i="2"/>
  <c r="H660" i="1"/>
  <c r="H664" i="1" s="1"/>
  <c r="H667" i="1" s="1"/>
  <c r="F660" i="1"/>
  <c r="F664" i="1" s="1"/>
  <c r="F672" i="1" s="1"/>
  <c r="C4" i="10" s="1"/>
  <c r="D104" i="2"/>
  <c r="C104" i="2"/>
  <c r="F193" i="1"/>
  <c r="D31" i="13"/>
  <c r="C31" i="13" s="1"/>
  <c r="E33" i="13"/>
  <c r="D35" i="13" s="1"/>
  <c r="C16" i="13"/>
  <c r="G104" i="2"/>
  <c r="K552" i="1"/>
  <c r="C25" i="13"/>
  <c r="H33" i="13"/>
  <c r="I461" i="1"/>
  <c r="H642" i="1" s="1"/>
  <c r="J642" i="1" s="1"/>
  <c r="G631" i="1"/>
  <c r="J631" i="1" s="1"/>
  <c r="J646" i="1"/>
  <c r="G193" i="1"/>
  <c r="G626" i="1"/>
  <c r="J626" i="1" s="1"/>
  <c r="J52" i="1"/>
  <c r="H621" i="1" s="1"/>
  <c r="J621" i="1" s="1"/>
  <c r="C38" i="10"/>
  <c r="E145" i="2" l="1"/>
  <c r="H472" i="1"/>
  <c r="H474" i="1" s="1"/>
  <c r="G627" i="1"/>
  <c r="F468" i="1"/>
  <c r="G628" i="1"/>
  <c r="G468" i="1"/>
  <c r="H470" i="1"/>
  <c r="H629" i="1"/>
  <c r="J629" i="1" s="1"/>
  <c r="G632" i="1"/>
  <c r="F472" i="1"/>
  <c r="G672" i="1"/>
  <c r="C5" i="10" s="1"/>
  <c r="C145" i="2"/>
  <c r="F667" i="1"/>
  <c r="D13" i="10"/>
  <c r="D18" i="10"/>
  <c r="D21" i="10"/>
  <c r="D12" i="10"/>
  <c r="D22" i="10"/>
  <c r="D17" i="10"/>
  <c r="D16" i="10"/>
  <c r="D19" i="10"/>
  <c r="D27" i="10"/>
  <c r="D24" i="10"/>
  <c r="D10" i="10"/>
  <c r="C30" i="10"/>
  <c r="D23" i="10"/>
  <c r="D26" i="10"/>
  <c r="D15" i="10"/>
  <c r="D11" i="10"/>
  <c r="D20" i="10"/>
  <c r="I660" i="1"/>
  <c r="I664" i="1" s="1"/>
  <c r="I672" i="1" s="1"/>
  <c r="C7" i="10" s="1"/>
  <c r="H672" i="1"/>
  <c r="C6" i="10" s="1"/>
  <c r="D33" i="13"/>
  <c r="D36" i="13" s="1"/>
  <c r="C41" i="10"/>
  <c r="D38" i="10" s="1"/>
  <c r="H633" i="1" l="1"/>
  <c r="J633" i="1" s="1"/>
  <c r="H476" i="1"/>
  <c r="H624" i="1" s="1"/>
  <c r="J624" i="1" s="1"/>
  <c r="H627" i="1"/>
  <c r="J627" i="1" s="1"/>
  <c r="F470" i="1"/>
  <c r="H628" i="1"/>
  <c r="J628" i="1" s="1"/>
  <c r="G470" i="1"/>
  <c r="G476" i="1" s="1"/>
  <c r="H623" i="1" s="1"/>
  <c r="J623" i="1" s="1"/>
  <c r="F474" i="1"/>
  <c r="H632" i="1"/>
  <c r="J632" i="1" s="1"/>
  <c r="D28" i="10"/>
  <c r="I667" i="1"/>
  <c r="D37" i="10"/>
  <c r="D36" i="10"/>
  <c r="D35" i="10"/>
  <c r="D40" i="10"/>
  <c r="D39" i="10"/>
  <c r="F476" i="1" l="1"/>
  <c r="H622" i="1" s="1"/>
  <c r="D41" i="10"/>
  <c r="F51" i="1"/>
  <c r="G622" i="1" s="1"/>
  <c r="C47" i="2"/>
  <c r="C50" i="2" s="1"/>
  <c r="C51" i="2" s="1"/>
  <c r="J622" i="1" l="1"/>
  <c r="F52" i="1"/>
  <c r="H617" i="1" s="1"/>
  <c r="J617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<sst xmlns="http://schemas.openxmlformats.org/spreadsheetml/2006/main" count="3959" uniqueCount="915">
  <si>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</si>
  <si>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</si>
  <si>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</si>
  <si>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</si>
  <si>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</si>
  <si>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</si>
  <si>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</si>
  <si>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</si>
  <si>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</si>
  <si>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</si>
  <si>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</si>
  <si>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</si>
  <si>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</si>
  <si>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</si>
  <si>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</si>
  <si>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</si>
  <si>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</si>
  <si>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</si>
  <si>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</si>
  <si>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</si>
  <si>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</si>
  <si>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</si>
  <si>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</si>
  <si>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</si>
  <si>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</si>
  <si>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</si>
  <si>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</si>
  <si>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</si>
  <si>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</si>
  <si>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</si>
  <si>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</si>
  <si>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</si>
  <si>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</si>
  <si>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</si>
  <si>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</si>
  <si>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</si>
  <si>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</si>
  <si>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</si>
  <si>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</si>
  <si>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</si>
  <si>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</si>
  <si>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</si>
  <si>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</si>
  <si>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</si>
  <si>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</si>
  <si>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</si>
  <si>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</si>
  <si>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</si>
  <si>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</si>
  <si>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</si>
  <si>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</si>
  <si>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</si>
  <si>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</si>
  <si>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</si>
  <si>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</si>
  <si>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</si>
  <si>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</si>
  <si>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</si>
  <si>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</si>
  <si>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</si>
  <si>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</si>
  <si>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</si>
  <si>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</si>
  <si>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</si>
  <si>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</si>
  <si>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</si>
  <si>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</si>
  <si>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</si>
  <si>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</si>
  <si>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</si>
  <si>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</si>
  <si>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</si>
  <si>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</si>
  <si>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</si>
  <si>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</si>
  <si>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</si>
  <si>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</si>
  <si>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</si>
  <si>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</si>
  <si>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</si>
  <si>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</si>
  <si>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</si>
  <si>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</si>
  <si>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</si>
  <si>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</si>
  <si>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</si>
  <si>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</si>
  <si>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</si>
  <si>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</si>
  <si>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</si>
  <si>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</si>
  <si>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</si>
  <si>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</si>
  <si>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</si>
  <si>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</si>
  <si>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</si>
  <si>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</si>
  <si>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</si>
  <si>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</si>
  <si>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</si>
  <si>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</si>
  <si>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</si>
  <si>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</si>
  <si>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</si>
  <si>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</si>
  <si>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</si>
  <si>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</si>
  <si>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</si>
  <si>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</si>
  <si>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</si>
  <si>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</si>
  <si>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</si>
  <si>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</si>
  <si>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</si>
  <si>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</si>
  <si>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</si>
  <si>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</si>
  <si>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</si>
  <si>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</si>
  <si>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</si>
  <si>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</si>
  <si>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</si>
  <si>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</si>
  <si>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</si>
  <si>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</si>
  <si>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</si>
  <si>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</si>
  <si>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</si>
  <si>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</si>
  <si>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</si>
  <si>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</si>
  <si>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</si>
  <si>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</si>
  <si>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</si>
  <si>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</si>
  <si>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</si>
  <si>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</si>
  <si>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</si>
  <si>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</si>
  <si>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</si>
  <si>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</si>
  <si>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</si>
  <si>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</si>
  <si>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</si>
  <si>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</si>
  <si>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</si>
  <si>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</si>
  <si>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</si>
  <si>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</si>
  <si>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</si>
  <si>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</si>
  <si>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</si>
  <si>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</si>
  <si>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</si>
  <si>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</si>
  <si>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</si>
  <si>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</si>
  <si>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</si>
  <si>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</si>
  <si>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</si>
  <si>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</si>
  <si>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</si>
  <si>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</si>
  <si>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</si>
  <si>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</si>
  <si>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</si>
  <si>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</si>
  <si>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</si>
  <si>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</si>
  <si>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</si>
  <si>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</si>
  <si>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</si>
  <si>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</si>
  <si>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</si>
  <si>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</si>
  <si>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</si>
  <si>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</si>
  <si>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</si>
  <si>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</si>
  <si>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</si>
  <si>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</si>
  <si>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</si>
  <si>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</si>
  <si>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</si>
  <si>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</si>
  <si>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</si>
  <si>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</si>
  <si>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</si>
  <si>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</si>
  <si>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</si>
  <si>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</si>
  <si>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</si>
  <si>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</si>
  <si>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</si>
  <si>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</si>
  <si>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</si>
  <si>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</si>
  <si>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</si>
  <si>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</si>
  <si>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</si>
  <si>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</si>
  <si>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</si>
  <si>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</si>
  <si>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</si>
  <si>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</si>
  <si>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</si>
  <si>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</si>
  <si>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</si>
  <si>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</si>
  <si>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</si>
  <si>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</si>
  <si>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</si>
  <si>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</si>
  <si>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</si>
  <si>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</si>
  <si>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</si>
  <si>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</si>
  <si>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</si>
  <si>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</si>
  <si>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</si>
  <si>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</si>
  <si>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</si>
  <si>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</si>
  <si>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</si>
  <si>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</si>
  <si>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</si>
  <si>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</si>
  <si>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</si>
  <si>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</si>
  <si>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</si>
  <si>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</si>
  <si>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</si>
  <si>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</si>
  <si>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</si>
  <si>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</si>
  <si>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</si>
  <si>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</si>
  <si>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</si>
  <si>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</si>
  <si>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</si>
  <si>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</si>
  <si>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</si>
  <si>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</si>
  <si>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</si>
  <si>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</si>
  <si>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</si>
  <si>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</si>
  <si>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</si>
  <si>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</si>
  <si>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</si>
  <si>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</si>
  <si>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</si>
  <si>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</si>
  <si>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</si>
  <si>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</si>
  <si>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</si>
  <si>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</si>
  <si>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</si>
  <si>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</si>
  <si>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</si>
  <si>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</si>
  <si>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</si>
  <si>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</si>
  <si>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</si>
  <si>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</si>
  <si>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</si>
  <si>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</si>
  <si>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</si>
  <si>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</si>
  <si>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</si>
  <si>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</si>
  <si>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</si>
  <si>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</si>
  <si>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</si>
  <si>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</si>
  <si>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</si>
  <si>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</si>
  <si>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</si>
  <si>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</si>
  <si>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</si>
  <si>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</si>
  <si>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</si>
  <si>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</si>
  <si>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</si>
  <si>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</si>
  <si>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</si>
  <si>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</si>
  <si>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</si>
  <si>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</si>
  <si>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</si>
  <si>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</si>
  <si>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</si>
  <si>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</si>
  <si>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</si>
  <si>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</si>
  <si>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</si>
  <si>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</si>
  <si>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</si>
  <si>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</si>
  <si>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</si>
  <si>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</si>
  <si>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</si>
  <si>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</si>
  <si>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</si>
  <si>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</si>
  <si>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</si>
  <si>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</si>
  <si>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</si>
  <si>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</si>
  <si>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</si>
  <si>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</si>
  <si>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</si>
  <si>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</si>
  <si>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</si>
  <si>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</si>
  <si>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</si>
  <si>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</si>
  <si>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</si>
  <si>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</si>
  <si>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</si>
  <si>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</si>
  <si>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</si>
  <si>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</si>
  <si>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</si>
  <si>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</si>
  <si>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</si>
  <si>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</si>
  <si>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</si>
  <si>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</si>
  <si>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</si>
  <si>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</si>
  <si>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</si>
  <si>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</si>
  <si>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</si>
  <si>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</si>
  <si>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</si>
  <si>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</si>
  <si>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</si>
  <si>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</si>
  <si>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</si>
  <si>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</si>
  <si>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</si>
  <si>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</si>
  <si>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</si>
  <si>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</si>
  <si>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</si>
  <si>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</si>
  <si>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</si>
  <si>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</si>
  <si>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</si>
  <si>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</si>
  <si>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</si>
  <si>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</si>
  <si>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</si>
  <si>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</si>
  <si>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</si>
  <si>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</si>
  <si>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</si>
  <si>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</si>
  <si>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</si>
  <si>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</si>
  <si>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</si>
  <si>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</si>
  <si>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</si>
  <si>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</si>
  <si>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</si>
  <si>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</si>
  <si>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</si>
  <si>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</si>
  <si>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</si>
  <si>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</si>
  <si>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</si>
  <si>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</si>
  <si>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</si>
  <si>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</si>
  <si>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</si>
  <si>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</si>
  <si>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</si>
  <si>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</si>
  <si>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</si>
  <si>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</si>
  <si>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</si>
  <si>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</si>
  <si>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</si>
  <si>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</si>
  <si>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</si>
  <si>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</si>
  <si>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</si>
  <si>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</si>
  <si>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</si>
  <si>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</si>
  <si>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</si>
  <si>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</si>
  <si>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</si>
  <si>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</si>
  <si>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</si>
  <si>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</si>
  <si>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</si>
  <si>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</si>
  <si>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</si>
  <si>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</si>
  <si>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</si>
  <si>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</si>
  <si>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</si>
  <si>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</si>
  <si>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</si>
  <si>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</si>
  <si>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</si>
  <si>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</si>
  <si>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</si>
  <si>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</si>
  <si>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</si>
  <si>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</si>
  <si>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</si>
  <si>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</si>
  <si>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</si>
  <si>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</si>
  <si>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</si>
  <si>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</si>
  <si>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</si>
  <si>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</si>
  <si>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</si>
  <si>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</si>
  <si>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</si>
  <si>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</si>
  <si>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</si>
  <si>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</si>
  <si>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</si>
  <si>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</si>
  <si>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</si>
  <si>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</si>
  <si>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</si>
  <si>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</si>
  <si>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</si>
  <si>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</si>
  <si>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</si>
  <si>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</si>
  <si>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</si>
  <si>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</si>
  <si>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</si>
  <si>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</si>
  <si>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</si>
  <si>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</si>
  <si>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</si>
  <si>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</si>
  <si>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</si>
  <si>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</si>
  <si>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</si>
  <si>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</si>
  <si>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</si>
  <si>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</si>
  <si>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</si>
  <si>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</si>
  <si>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</si>
  <si>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</si>
  <si>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</si>
  <si>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</si>
  <si>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</si>
  <si>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</si>
  <si>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</si>
  <si>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</si>
  <si>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</si>
  <si>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</si>
  <si>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</si>
  <si>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</si>
  <si>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</si>
  <si>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</si>
  <si>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</si>
  <si>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</si>
  <si>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</si>
  <si>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</si>
  <si>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</si>
  <si>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</si>
  <si>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</si>
  <si>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</si>
  <si>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</si>
  <si>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</si>
  <si>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</si>
  <si>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</si>
  <si>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</si>
  <si>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</si>
  <si>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</si>
  <si>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</si>
  <si>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</si>
  <si>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</si>
  <si>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</si>
  <si>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</si>
  <si>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</si>
  <si>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</si>
  <si>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</si>
  <si>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</si>
  <si>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</si>
  <si>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</si>
  <si>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</si>
  <si>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</si>
  <si>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</si>
  <si>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</si>
  <si>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</si>
  <si>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</si>
  <si>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</si>
  <si>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</si>
  <si>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</si>
  <si>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</si>
  <si>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</si>
  <si>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</si>
  <si>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</si>
  <si>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</si>
  <si>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</si>
  <si>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</si>
  <si>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</si>
  <si>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</si>
  <si>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</si>
  <si>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</si>
  <si>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</si>
  <si>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</si>
  <si>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</si>
  <si>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</si>
  <si>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</si>
  <si>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</si>
  <si>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</si>
  <si>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</si>
  <si>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</si>
  <si>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</si>
  <si>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</si>
  <si>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</si>
  <si>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</si>
  <si>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</si>
  <si>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</si>
  <si>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</si>
  <si>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</si>
  <si>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</si>
  <si>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</si>
  <si>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</si>
  <si>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</si>
  <si>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</si>
  <si>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</si>
  <si>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</si>
  <si>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</si>
  <si>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</si>
  <si>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</si>
  <si>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</si>
  <si>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</si>
  <si>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</si>
  <si>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</si>
  <si>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</si>
  <si>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</si>
  <si>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</si>
  <si>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</si>
  <si>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</si>
  <si>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</si>
  <si>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</si>
  <si>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</si>
  <si>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</si>
  <si>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</si>
  <si>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</si>
  <si>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</si>
  <si>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</si>
  <si>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</si>
  <si>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</si>
  <si>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</si>
  <si>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</si>
  <si>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</si>
  <si>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</si>
  <si>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</si>
  <si>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</si>
  <si>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</si>
  <si>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</si>
  <si>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</si>
  <si>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</si>
  <si>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</si>
  <si>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</si>
  <si>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</si>
  <si>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</si>
  <si>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</si>
  <si>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</si>
  <si>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</si>
  <si>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</si>
  <si>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</si>
  <si>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</si>
  <si>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</si>
  <si>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</si>
  <si>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</si>
  <si>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</si>
  <si>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</si>
  <si>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</si>
  <si>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</si>
  <si>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</si>
  <si>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</si>
  <si>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</si>
  <si>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</si>
  <si>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</si>
  <si>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</si>
  <si>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</si>
  <si>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</si>
  <si>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</si>
  <si>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</si>
  <si>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</si>
  <si>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</si>
  <si>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</si>
  <si>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</si>
  <si>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</si>
  <si>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</si>
  <si>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</si>
  <si>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</si>
  <si>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</si>
  <si>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</si>
  <si>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</si>
  <si>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</si>
  <si>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</si>
  <si>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</si>
  <si>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</si>
  <si>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</si>
  <si>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</si>
  <si>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</si>
  <si>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</si>
  <si>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</si>
  <si>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</si>
  <si>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</si>
  <si>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</si>
  <si>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</si>
  <si>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</si>
  <si>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</si>
  <si>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</si>
  <si>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</si>
  <si>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</si>
  <si>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</si>
  <si>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</si>
  <si>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</si>
  <si>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</si>
  <si>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</si>
  <si>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</si>
  <si>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</si>
  <si>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</si>
  <si>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</si>
  <si>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</si>
  <si>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</si>
  <si>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</si>
  <si>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</si>
  <si>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</si>
  <si>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</si>
  <si>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</si>
  <si>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</si>
  <si>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</si>
  <si>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</si>
  <si>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</si>
  <si>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</si>
  <si>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</si>
  <si>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</si>
  <si>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</si>
  <si>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</si>
  <si>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</si>
  <si>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</si>
  <si>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</si>
  <si>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</si>
  <si>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</si>
  <si>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</si>
  <si>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</si>
  <si>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</si>
  <si>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</si>
  <si>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</si>
  <si>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</si>
  <si>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</si>
  <si>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</si>
  <si>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</si>
  <si>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</si>
  <si>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</si>
  <si>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</si>
  <si>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</si>
  <si>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</si>
  <si>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</si>
  <si>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</si>
  <si>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</si>
  <si>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</si>
  <si>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</si>
  <si>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</si>
  <si>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</si>
  <si>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</si>
  <si>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</si>
  <si>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</si>
  <si>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</si>
  <si>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</si>
  <si>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</si>
  <si>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</si>
  <si>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</si>
  <si>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</si>
  <si>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</si>
  <si>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</si>
  <si>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</si>
  <si>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</si>
  <si>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</si>
  <si>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</si>
  <si>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</si>
  <si>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</si>
  <si>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</si>
  <si>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</si>
  <si>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</si>
  <si>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</si>
  <si>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</si>
  <si>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</si>
  <si>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</si>
  <si>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</si>
  <si>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</si>
  <si>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</si>
  <si>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</si>
  <si>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</si>
  <si>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</si>
  <si>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</si>
  <si>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</si>
  <si>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</si>
  <si>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</si>
  <si>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</si>
  <si>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</si>
  <si>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</si>
  <si>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</si>
  <si>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</si>
  <si>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</si>
  <si>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</si>
  <si>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</si>
  <si>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</si>
  <si>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</si>
  <si>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</si>
  <si>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</si>
  <si>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</si>
  <si>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</si>
  <si>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</si>
  <si>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</si>
  <si>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</si>
  <si>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</si>
  <si>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</si>
  <si>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</si>
  <si>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</si>
  <si>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</si>
  <si>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</si>
  <si>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</si>
  <si>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</si>
  <si>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</si>
  <si>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</si>
  <si>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</si>
  <si>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</si>
  <si>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</si>
  <si>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</si>
  <si>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</si>
  <si>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</si>
  <si>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</si>
  <si>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</si>
  <si>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</si>
  <si>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</si>
  <si>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</si>
  <si>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</si>
  <si>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</si>
  <si>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</si>
  <si>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</si>
  <si>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</si>
  <si>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</si>
  <si>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</si>
  <si>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</si>
  <si>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</si>
  <si>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</si>
  <si>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</si>
  <si>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</si>
  <si>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</si>
  <si>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</si>
  <si>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</si>
  <si>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</si>
  <si>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</si>
  <si>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</si>
  <si>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</si>
  <si>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</si>
  <si>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</si>
  <si>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</si>
  <si>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</si>
  <si>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</si>
  <si>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</si>
  <si>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</si>
  <si>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</si>
  <si>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</si>
  <si>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</si>
  <si>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</si>
  <si>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</si>
  <si>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</si>
  <si>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</si>
  <si>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</si>
  <si>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</si>
  <si>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</si>
  <si>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</si>
  <si>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</si>
  <si>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</si>
  <si>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</si>
  <si>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</si>
  <si>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</si>
  <si>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</si>
  <si>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</si>
  <si>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</si>
  <si>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</si>
  <si>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</si>
  <si>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</si>
  <si>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</si>
  <si>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</si>
  <si>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</si>
  <si>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</si>
  <si>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</si>
  <si>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</si>
  <si>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</si>
  <si>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</si>
  <si>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</si>
  <si>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</si>
  <si>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</si>
  <si>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</si>
  <si>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</si>
  <si>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</si>
  <si>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</si>
  <si>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</si>
  <si>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</si>
  <si>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</si>
  <si>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</si>
  <si>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</si>
  <si>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</si>
  <si>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</si>
  <si>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</si>
  <si>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</si>
  <si>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</si>
  <si>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</si>
  <si>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</si>
  <si>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</si>
  <si>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</si>
  <si>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</si>
  <si>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</si>
  <si>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</si>
  <si>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</si>
  <si>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</si>
  <si>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</si>
  <si>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</si>
  <si>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</si>
  <si>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</si>
  <si>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</si>
  <si>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</si>
  <si>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</si>
  <si>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</si>
  <si>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</si>
  <si>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</si>
  <si>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</si>
  <si>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</si>
  <si>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</si>
  <si>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</si>
  <si>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</si>
  <si>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</si>
  <si>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</si>
  <si>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</si>
  <si>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</si>
  <si>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</si>
  <si>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</si>
  <si>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</si>
  <si>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</si>
  <si>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</si>
  <si>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</si>
  <si>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</si>
  <si>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</si>
  <si>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</si>
  <si>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</si>
  <si>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</si>
  <si>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</si>
  <si>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</si>
  <si>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</si>
  <si>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</si>
  <si>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</si>
  <si>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</si>
  <si>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</si>
  <si>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</si>
  <si>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</si>
  <si>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</si>
  <si>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</si>
  <si>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</si>
  <si>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</si>
  <si>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</si>
  <si>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</si>
  <si>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</si>
  <si>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</si>
  <si>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</si>
  <si>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</si>
  <si>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</si>
  <si>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</si>
  <si>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</si>
  <si>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</si>
  <si>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</si>
  <si>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</si>
  <si>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</si>
  <si>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</si>
  <si>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</si>
  <si>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</si>
  <si>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</si>
  <si>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</si>
  <si>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</si>
  <si>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</si>
  <si>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</si>
  <si>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</si>
  <si>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</si>
  <si>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</si>
  <si>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</si>
  <si>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</si>
  <si>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</si>
  <si>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</si>
  <si>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</si>
  <si>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</si>
  <si>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</si>
  <si>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</si>
  <si>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</si>
  <si>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</si>
  <si>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</si>
  <si>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</si>
  <si>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</si>
  <si>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</si>
  <si>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</si>
  <si>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Claremont School District</t>
  </si>
  <si>
    <t>08/13</t>
  </si>
  <si>
    <t>08/33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</si>
</sst>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30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10" fontId="0" fillId="0" borderId="0" xfId="1" applyNumberFormat="1" applyFont="1"/>
    <xf numFmtId="43" fontId="0" fillId="0" borderId="0" xfId="2" applyFont="1"/>
    <xf numFmtId="43" fontId="0" fillId="0" borderId="0" xfId="0" applyNumberForma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101</v>
      </c>
      <c r="C2" s="21">
        <v>101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130101+366189</f>
        <v>496290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943088</v>
      </c>
      <c r="G12" s="18">
        <v>0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210871</v>
      </c>
      <c r="G13" s="18">
        <f>-250+45548</f>
        <v>45298</v>
      </c>
      <c r="H13" s="18">
        <f>1248304-2233521+2030027</f>
        <v>1044810</v>
      </c>
      <c r="I13" s="18"/>
      <c r="J13" s="67">
        <f>SUM(I442)</f>
        <v>494009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21200</v>
      </c>
      <c r="G14" s="18">
        <v>33252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>
        <v>11099</v>
      </c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6545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1677994</v>
      </c>
      <c r="G19" s="41">
        <f>SUM(G9:G18)</f>
        <v>89649</v>
      </c>
      <c r="H19" s="41">
        <f>SUM(H9:H18)</f>
        <v>1044810</v>
      </c>
      <c r="I19" s="41">
        <f>SUM(I9:I18)</f>
        <v>0</v>
      </c>
      <c r="J19" s="41">
        <f>SUM(J9:J18)</f>
        <v>494009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85112</v>
      </c>
      <c r="H22" s="18">
        <f>-35604+893580</f>
        <v>857976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300464</v>
      </c>
      <c r="G24" s="18"/>
      <c r="H24" s="18">
        <f>2965+107</f>
        <v>3072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102596+361848-62148</f>
        <v>402296</v>
      </c>
      <c r="G29" s="18">
        <v>4537</v>
      </c>
      <c r="H29" s="18">
        <f>107+7+155+75+1197+1497+24+134100</f>
        <v>137162</v>
      </c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>
        <v>17130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702760</v>
      </c>
      <c r="G32" s="41">
        <f>SUM(G22:G31)</f>
        <v>89649</v>
      </c>
      <c r="H32" s="41">
        <f>SUM(H22:H31)</f>
        <v>1015340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197765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196794</v>
      </c>
      <c r="G48" s="18"/>
      <c r="H48" s="18">
        <v>29470</v>
      </c>
      <c r="I48" s="18"/>
      <c r="J48" s="13">
        <f>SUM(I459)</f>
        <v>494009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f>62148+75000</f>
        <v>137148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443527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975234</v>
      </c>
      <c r="G51" s="41">
        <f>SUM(G35:G50)</f>
        <v>0</v>
      </c>
      <c r="H51" s="41">
        <f>SUM(H35:H50)</f>
        <v>29470</v>
      </c>
      <c r="I51" s="41">
        <f>SUM(I35:I50)</f>
        <v>0</v>
      </c>
      <c r="J51" s="41">
        <f>SUM(J35:J50)</f>
        <v>494009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1677994</v>
      </c>
      <c r="G52" s="41">
        <f>G51+G32</f>
        <v>89649</v>
      </c>
      <c r="H52" s="41">
        <f>H51+H32</f>
        <v>1044810</v>
      </c>
      <c r="I52" s="41">
        <f>I51+I32</f>
        <v>0</v>
      </c>
      <c r="J52" s="41">
        <f>J51+J32</f>
        <v>494009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15880636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15880636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519999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519999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441</v>
      </c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441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f>51254</f>
        <v>51254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391286+26-34687</f>
        <v>356625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40055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74168</v>
      </c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f>94462+57654+16280+76060+50123</f>
        <v>294579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460056</v>
      </c>
      <c r="G111" s="41">
        <f>SUM(G96:G110)</f>
        <v>356625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16861132</v>
      </c>
      <c r="G112" s="41">
        <f>G60+G111</f>
        <v>356625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12341491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1542291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13664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13897446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231023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13387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3459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2915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247869</v>
      </c>
      <c r="G136" s="41">
        <f>SUM(G123:G135)</f>
        <v>2915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>
        <v>31452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14145315</v>
      </c>
      <c r="G140" s="41">
        <f>G121+SUM(G136:G137)</f>
        <v>2915</v>
      </c>
      <c r="H140" s="41">
        <f>H121+SUM(H136:H139)</f>
        <v>31452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731469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646480</f>
        <v>646480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70008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50024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341021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532046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f>164814+516798</f>
        <v>681612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681612</v>
      </c>
      <c r="G162" s="41">
        <f>SUM(G150:G161)</f>
        <v>341021</v>
      </c>
      <c r="H162" s="41">
        <f>SUM(H150:H161)</f>
        <v>2030027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681612</v>
      </c>
      <c r="G169" s="41">
        <f>G147+G162+SUM(G163:G168)</f>
        <v>341021</v>
      </c>
      <c r="H169" s="41">
        <f>H147+H162+SUM(H163:H168)</f>
        <v>2030027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f>K263</f>
        <v>34687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34687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34687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31688059</v>
      </c>
      <c r="G193" s="47">
        <f>G112+G140+G169+G192</f>
        <v>735248</v>
      </c>
      <c r="H193" s="47">
        <f>H112+H140+H169+H192</f>
        <v>2061479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3152688</v>
      </c>
      <c r="G197" s="18">
        <v>1847013</v>
      </c>
      <c r="H197" s="18">
        <v>42657</v>
      </c>
      <c r="I197" s="18">
        <v>153179</v>
      </c>
      <c r="J197" s="18">
        <v>7255</v>
      </c>
      <c r="K197" s="18">
        <v>379</v>
      </c>
      <c r="L197" s="19">
        <f>SUM(F197:K197)</f>
        <v>5203171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1791766</v>
      </c>
      <c r="G198" s="18">
        <v>626791</v>
      </c>
      <c r="H198" s="18">
        <f>200000+1167202-82633</f>
        <v>1284569</v>
      </c>
      <c r="I198" s="18">
        <v>20057</v>
      </c>
      <c r="J198" s="18">
        <v>453</v>
      </c>
      <c r="K198" s="18"/>
      <c r="L198" s="19">
        <f>SUM(F198:K198)</f>
        <v>3723636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442522</v>
      </c>
      <c r="G202" s="18">
        <v>272146</v>
      </c>
      <c r="H202" s="18">
        <v>9716</v>
      </c>
      <c r="I202" s="18">
        <v>6482</v>
      </c>
      <c r="J202" s="18">
        <v>0</v>
      </c>
      <c r="K202" s="18"/>
      <c r="L202" s="19">
        <f t="shared" ref="L202:L208" si="0">SUM(F202:K202)</f>
        <v>730866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220321</v>
      </c>
      <c r="G203" s="18">
        <v>95139</v>
      </c>
      <c r="H203" s="18">
        <v>75024</v>
      </c>
      <c r="I203" s="18">
        <v>25954</v>
      </c>
      <c r="J203" s="18">
        <v>168429</v>
      </c>
      <c r="K203" s="18"/>
      <c r="L203" s="19">
        <f t="shared" si="0"/>
        <v>584867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3878</v>
      </c>
      <c r="G204" s="18">
        <v>301</v>
      </c>
      <c r="H204" s="18">
        <v>834438</v>
      </c>
      <c r="I204" s="18">
        <v>606</v>
      </c>
      <c r="J204" s="18"/>
      <c r="K204" s="18">
        <v>8168</v>
      </c>
      <c r="L204" s="19">
        <f t="shared" si="0"/>
        <v>847391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712119</v>
      </c>
      <c r="G205" s="18">
        <v>437062</v>
      </c>
      <c r="H205" s="18">
        <v>5853</v>
      </c>
      <c r="I205" s="18">
        <v>2899</v>
      </c>
      <c r="J205" s="18">
        <v>2032</v>
      </c>
      <c r="K205" s="18">
        <v>9008</v>
      </c>
      <c r="L205" s="19">
        <f t="shared" si="0"/>
        <v>1168973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325758</v>
      </c>
      <c r="G207" s="18">
        <v>166205</v>
      </c>
      <c r="H207" s="18">
        <f>27500+268808</f>
        <v>296308</v>
      </c>
      <c r="I207" s="18">
        <v>181845</v>
      </c>
      <c r="J207" s="18">
        <v>16406</v>
      </c>
      <c r="K207" s="18"/>
      <c r="L207" s="19">
        <f t="shared" si="0"/>
        <v>986522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237935</v>
      </c>
      <c r="G208" s="18">
        <v>85585</v>
      </c>
      <c r="H208" s="18">
        <f>82633+109848</f>
        <v>192481</v>
      </c>
      <c r="I208" s="18">
        <v>35692</v>
      </c>
      <c r="J208" s="18">
        <v>32379</v>
      </c>
      <c r="K208" s="18"/>
      <c r="L208" s="19">
        <f t="shared" si="0"/>
        <v>584072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26874</v>
      </c>
      <c r="G209" s="18">
        <v>3716</v>
      </c>
      <c r="H209" s="18">
        <v>460</v>
      </c>
      <c r="I209" s="18">
        <v>5774</v>
      </c>
      <c r="J209" s="18"/>
      <c r="K209" s="18"/>
      <c r="L209" s="19">
        <f>SUM(F209:K209)</f>
        <v>36824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6913861</v>
      </c>
      <c r="G211" s="41">
        <f t="shared" si="1"/>
        <v>3533958</v>
      </c>
      <c r="H211" s="41">
        <f t="shared" si="1"/>
        <v>2741506</v>
      </c>
      <c r="I211" s="41">
        <f t="shared" si="1"/>
        <v>432488</v>
      </c>
      <c r="J211" s="41">
        <f t="shared" si="1"/>
        <v>226954</v>
      </c>
      <c r="K211" s="41">
        <f t="shared" si="1"/>
        <v>17555</v>
      </c>
      <c r="L211" s="41">
        <f t="shared" si="1"/>
        <v>13866322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1348431</v>
      </c>
      <c r="G215" s="18">
        <v>76844</v>
      </c>
      <c r="H215" s="18">
        <v>21049</v>
      </c>
      <c r="I215" s="18">
        <v>62167</v>
      </c>
      <c r="J215" s="18">
        <v>7271</v>
      </c>
      <c r="K215" s="18">
        <v>1060</v>
      </c>
      <c r="L215" s="19">
        <f>SUM(F215:K215)</f>
        <v>1516822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620414</v>
      </c>
      <c r="G216" s="18">
        <v>250089</v>
      </c>
      <c r="H216" s="18">
        <f>663644+100000-52327</f>
        <v>711317</v>
      </c>
      <c r="I216" s="18">
        <v>6183</v>
      </c>
      <c r="J216" s="18">
        <v>403</v>
      </c>
      <c r="K216" s="18"/>
      <c r="L216" s="19">
        <f>SUM(F216:K216)</f>
        <v>1588406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143470</v>
      </c>
      <c r="G217" s="18">
        <v>91421</v>
      </c>
      <c r="H217" s="18"/>
      <c r="I217" s="18">
        <v>9104</v>
      </c>
      <c r="J217" s="18"/>
      <c r="K217" s="18"/>
      <c r="L217" s="19">
        <f>SUM(F217:K217)</f>
        <v>243995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48562</v>
      </c>
      <c r="G218" s="18">
        <v>5053</v>
      </c>
      <c r="H218" s="18">
        <v>7682</v>
      </c>
      <c r="I218" s="18">
        <v>7739</v>
      </c>
      <c r="J218" s="18">
        <v>9900</v>
      </c>
      <c r="K218" s="18">
        <v>1270</v>
      </c>
      <c r="L218" s="19">
        <f>SUM(F218:K218)</f>
        <v>80206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264235</v>
      </c>
      <c r="G220" s="18">
        <v>144323</v>
      </c>
      <c r="H220" s="18">
        <v>4473</v>
      </c>
      <c r="I220" s="18">
        <v>4191</v>
      </c>
      <c r="J220" s="18">
        <v>1857</v>
      </c>
      <c r="K220" s="18"/>
      <c r="L220" s="19">
        <f t="shared" ref="L220:L226" si="2">SUM(F220:K220)</f>
        <v>419079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105583</v>
      </c>
      <c r="G221" s="18">
        <v>58998</v>
      </c>
      <c r="H221" s="18">
        <v>30013</v>
      </c>
      <c r="I221" s="18">
        <v>12114</v>
      </c>
      <c r="J221" s="18">
        <v>91759</v>
      </c>
      <c r="K221" s="18"/>
      <c r="L221" s="19">
        <f t="shared" si="2"/>
        <v>298467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1785</v>
      </c>
      <c r="G222" s="18">
        <v>139</v>
      </c>
      <c r="H222" s="18">
        <v>384176</v>
      </c>
      <c r="I222" s="18">
        <v>279</v>
      </c>
      <c r="J222" s="18"/>
      <c r="K222" s="18">
        <v>3761</v>
      </c>
      <c r="L222" s="19">
        <f t="shared" si="2"/>
        <v>390140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265218</v>
      </c>
      <c r="G223" s="18">
        <v>116473</v>
      </c>
      <c r="H223" s="18">
        <v>3140</v>
      </c>
      <c r="I223" s="18">
        <v>1978</v>
      </c>
      <c r="J223" s="18"/>
      <c r="K223" s="18">
        <v>2201</v>
      </c>
      <c r="L223" s="19">
        <f t="shared" si="2"/>
        <v>389010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164353</v>
      </c>
      <c r="G225" s="18">
        <v>90725</v>
      </c>
      <c r="H225" s="18">
        <f>27500+146880</f>
        <v>174380</v>
      </c>
      <c r="I225" s="18">
        <v>108050</v>
      </c>
      <c r="J225" s="18">
        <v>61090</v>
      </c>
      <c r="K225" s="18"/>
      <c r="L225" s="19">
        <f t="shared" si="2"/>
        <v>598598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109546</v>
      </c>
      <c r="G226" s="18">
        <v>39403</v>
      </c>
      <c r="H226" s="18">
        <f>52327+50574</f>
        <v>102901</v>
      </c>
      <c r="I226" s="18">
        <v>16432</v>
      </c>
      <c r="J226" s="18">
        <v>14907</v>
      </c>
      <c r="K226" s="18"/>
      <c r="L226" s="19">
        <f t="shared" si="2"/>
        <v>283189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12373</v>
      </c>
      <c r="G227" s="18">
        <v>1711</v>
      </c>
      <c r="H227" s="18">
        <v>212</v>
      </c>
      <c r="I227" s="18">
        <v>2658</v>
      </c>
      <c r="J227" s="18"/>
      <c r="K227" s="18"/>
      <c r="L227" s="19">
        <f>SUM(F227:K227)</f>
        <v>16954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3083970</v>
      </c>
      <c r="G229" s="41">
        <f>SUM(G215:G228)</f>
        <v>875179</v>
      </c>
      <c r="H229" s="41">
        <f>SUM(H215:H228)</f>
        <v>1439343</v>
      </c>
      <c r="I229" s="41">
        <f>SUM(I215:I228)</f>
        <v>230895</v>
      </c>
      <c r="J229" s="41">
        <f>SUM(J215:J228)</f>
        <v>187187</v>
      </c>
      <c r="K229" s="41">
        <f t="shared" si="3"/>
        <v>8292</v>
      </c>
      <c r="L229" s="41">
        <f t="shared" si="3"/>
        <v>5824866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1899317</v>
      </c>
      <c r="G233" s="18">
        <v>1051993</v>
      </c>
      <c r="H233" s="18">
        <v>90832</v>
      </c>
      <c r="I233" s="18">
        <v>149940</v>
      </c>
      <c r="J233" s="18">
        <v>3535</v>
      </c>
      <c r="K233" s="18">
        <v>16504</v>
      </c>
      <c r="L233" s="19">
        <f>SUM(F233:K233)</f>
        <v>3212121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842232</v>
      </c>
      <c r="G234" s="18">
        <v>362348</v>
      </c>
      <c r="H234" s="18">
        <f>200000+1130974-92745</f>
        <v>1238229</v>
      </c>
      <c r="I234" s="18">
        <v>26242</v>
      </c>
      <c r="J234" s="18">
        <v>10550</v>
      </c>
      <c r="K234" s="18"/>
      <c r="L234" s="19">
        <f>SUM(F234:K234)</f>
        <v>2479601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336934</v>
      </c>
      <c r="G235" s="18">
        <v>159177</v>
      </c>
      <c r="H235" s="18">
        <v>29704</v>
      </c>
      <c r="I235" s="18">
        <v>726</v>
      </c>
      <c r="J235" s="18"/>
      <c r="K235" s="18"/>
      <c r="L235" s="19">
        <f>SUM(F235:K235)</f>
        <v>526541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203273</v>
      </c>
      <c r="G236" s="18">
        <v>61349</v>
      </c>
      <c r="H236" s="18">
        <v>77276</v>
      </c>
      <c r="I236" s="18">
        <v>20829</v>
      </c>
      <c r="J236" s="18"/>
      <c r="K236" s="18">
        <v>18111</v>
      </c>
      <c r="L236" s="19">
        <f>SUM(F236:K236)</f>
        <v>380838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342144</v>
      </c>
      <c r="G238" s="18">
        <v>169650</v>
      </c>
      <c r="H238" s="18">
        <v>6099</v>
      </c>
      <c r="I238" s="18">
        <v>8837</v>
      </c>
      <c r="J238" s="18">
        <v>1419</v>
      </c>
      <c r="K238" s="18">
        <v>725</v>
      </c>
      <c r="L238" s="19">
        <f t="shared" ref="L238:L244" si="4">SUM(F238:K238)</f>
        <v>528874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102948</v>
      </c>
      <c r="G239" s="18">
        <v>38380</v>
      </c>
      <c r="H239" s="18">
        <v>34949</v>
      </c>
      <c r="I239" s="18">
        <v>19663</v>
      </c>
      <c r="J239" s="18">
        <v>199732</v>
      </c>
      <c r="K239" s="18"/>
      <c r="L239" s="19">
        <f t="shared" si="4"/>
        <v>395672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2444</v>
      </c>
      <c r="G240" s="18">
        <v>198</v>
      </c>
      <c r="H240" s="18">
        <v>470067</v>
      </c>
      <c r="I240" s="18">
        <v>380</v>
      </c>
      <c r="J240" s="18"/>
      <c r="K240" s="18">
        <v>5127</v>
      </c>
      <c r="L240" s="19">
        <f t="shared" si="4"/>
        <v>478216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644325</v>
      </c>
      <c r="G241" s="18">
        <v>290150</v>
      </c>
      <c r="H241" s="18">
        <v>10538</v>
      </c>
      <c r="I241" s="18">
        <v>2282</v>
      </c>
      <c r="J241" s="18"/>
      <c r="K241" s="18">
        <v>6448</v>
      </c>
      <c r="L241" s="19">
        <f t="shared" si="4"/>
        <v>953743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297017</v>
      </c>
      <c r="G243" s="18">
        <v>126191</v>
      </c>
      <c r="H243" s="18">
        <f>50000+282726</f>
        <v>332726</v>
      </c>
      <c r="I243" s="18">
        <v>203952</v>
      </c>
      <c r="J243" s="18">
        <v>8438</v>
      </c>
      <c r="K243" s="18"/>
      <c r="L243" s="19">
        <f t="shared" si="4"/>
        <v>968324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150443</v>
      </c>
      <c r="G244" s="18">
        <v>53926</v>
      </c>
      <c r="H244" s="18">
        <f>92745+70076</f>
        <v>162821</v>
      </c>
      <c r="I244" s="18">
        <v>22402</v>
      </c>
      <c r="J244" s="18">
        <v>20322</v>
      </c>
      <c r="K244" s="18"/>
      <c r="L244" s="19">
        <f t="shared" si="4"/>
        <v>409914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16867</v>
      </c>
      <c r="G245" s="18">
        <v>2333</v>
      </c>
      <c r="H245" s="18">
        <v>29</v>
      </c>
      <c r="I245" s="18">
        <v>3624</v>
      </c>
      <c r="J245" s="18"/>
      <c r="K245" s="18"/>
      <c r="L245" s="19">
        <f>SUM(F245:K245)</f>
        <v>22853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4837944</v>
      </c>
      <c r="G247" s="41">
        <f t="shared" si="5"/>
        <v>2315695</v>
      </c>
      <c r="H247" s="41">
        <f t="shared" si="5"/>
        <v>2453270</v>
      </c>
      <c r="I247" s="41">
        <f t="shared" si="5"/>
        <v>458877</v>
      </c>
      <c r="J247" s="41">
        <f t="shared" si="5"/>
        <v>243996</v>
      </c>
      <c r="K247" s="41">
        <f t="shared" si="5"/>
        <v>46915</v>
      </c>
      <c r="L247" s="41">
        <f t="shared" si="5"/>
        <v>10356697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66945</v>
      </c>
      <c r="G251" s="18">
        <v>29613</v>
      </c>
      <c r="H251" s="18">
        <v>1836</v>
      </c>
      <c r="I251" s="18"/>
      <c r="J251" s="18"/>
      <c r="K251" s="18"/>
      <c r="L251" s="19">
        <f t="shared" si="6"/>
        <v>98394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24424</v>
      </c>
      <c r="G253" s="18">
        <v>1902</v>
      </c>
      <c r="H253" s="18"/>
      <c r="I253" s="18">
        <v>459</v>
      </c>
      <c r="J253" s="18"/>
      <c r="K253" s="18"/>
      <c r="L253" s="19">
        <f t="shared" si="6"/>
        <v>26785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91369</v>
      </c>
      <c r="G256" s="41">
        <f t="shared" si="7"/>
        <v>31515</v>
      </c>
      <c r="H256" s="41">
        <f t="shared" si="7"/>
        <v>1836</v>
      </c>
      <c r="I256" s="41">
        <f t="shared" si="7"/>
        <v>459</v>
      </c>
      <c r="J256" s="41">
        <f t="shared" si="7"/>
        <v>0</v>
      </c>
      <c r="K256" s="41">
        <f t="shared" si="7"/>
        <v>0</v>
      </c>
      <c r="L256" s="41">
        <f>SUM(F256:K256)</f>
        <v>125179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14927144</v>
      </c>
      <c r="G257" s="41">
        <f t="shared" si="8"/>
        <v>6756347</v>
      </c>
      <c r="H257" s="41">
        <f t="shared" si="8"/>
        <v>6635955</v>
      </c>
      <c r="I257" s="41">
        <f t="shared" si="8"/>
        <v>1122719</v>
      </c>
      <c r="J257" s="41">
        <f t="shared" si="8"/>
        <v>658137</v>
      </c>
      <c r="K257" s="41">
        <f t="shared" si="8"/>
        <v>72762</v>
      </c>
      <c r="L257" s="41">
        <f t="shared" si="8"/>
        <v>30173064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671187</v>
      </c>
      <c r="L260" s="19">
        <f>SUM(F260:K260)</f>
        <v>671187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536885</v>
      </c>
      <c r="L261" s="19">
        <f>SUM(F261:K261)</f>
        <v>536885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34687</v>
      </c>
      <c r="L263" s="19">
        <f>SUM(F263:K263)</f>
        <v>34687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1242759</v>
      </c>
      <c r="L270" s="41">
        <f t="shared" si="9"/>
        <v>1242759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14927144</v>
      </c>
      <c r="G271" s="42">
        <f t="shared" si="11"/>
        <v>6756347</v>
      </c>
      <c r="H271" s="42">
        <f t="shared" si="11"/>
        <v>6635955</v>
      </c>
      <c r="I271" s="42">
        <f t="shared" si="11"/>
        <v>1122719</v>
      </c>
      <c r="J271" s="42">
        <f t="shared" si="11"/>
        <v>658137</v>
      </c>
      <c r="K271" s="42">
        <f t="shared" si="11"/>
        <v>1315521</v>
      </c>
      <c r="L271" s="42">
        <f t="shared" si="11"/>
        <v>31415823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426566</v>
      </c>
      <c r="G276" s="18">
        <v>240462</v>
      </c>
      <c r="H276" s="18">
        <v>48229</v>
      </c>
      <c r="I276" s="18">
        <v>16211</v>
      </c>
      <c r="J276" s="18"/>
      <c r="K276" s="18"/>
      <c r="L276" s="19">
        <f>SUM(F276:K276)</f>
        <v>731468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150330</v>
      </c>
      <c r="G277" s="18">
        <v>83159</v>
      </c>
      <c r="H277" s="18">
        <v>12247</v>
      </c>
      <c r="I277" s="18">
        <v>821</v>
      </c>
      <c r="J277" s="18">
        <v>13013</v>
      </c>
      <c r="K277" s="18"/>
      <c r="L277" s="19">
        <f>SUM(F277:K277)</f>
        <v>259570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>
        <v>2336</v>
      </c>
      <c r="J279" s="18"/>
      <c r="K279" s="18"/>
      <c r="L279" s="19">
        <f>SUM(F279:K279)</f>
        <v>2336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100524</v>
      </c>
      <c r="G281" s="18">
        <v>23985</v>
      </c>
      <c r="H281" s="18">
        <v>110130</v>
      </c>
      <c r="I281" s="18">
        <v>24201</v>
      </c>
      <c r="J281" s="18">
        <v>2375</v>
      </c>
      <c r="K281" s="18"/>
      <c r="L281" s="19">
        <f t="shared" ref="L281:L287" si="12">SUM(F281:K281)</f>
        <v>261215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20305</v>
      </c>
      <c r="G282" s="18">
        <v>3127</v>
      </c>
      <c r="H282" s="18">
        <v>115542</v>
      </c>
      <c r="I282" s="18">
        <v>960</v>
      </c>
      <c r="J282" s="18"/>
      <c r="K282" s="18"/>
      <c r="L282" s="19">
        <f t="shared" si="12"/>
        <v>139934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>
        <v>5058</v>
      </c>
      <c r="I283" s="18">
        <v>1260</v>
      </c>
      <c r="J283" s="18"/>
      <c r="K283" s="4"/>
      <c r="L283" s="19">
        <f t="shared" si="12"/>
        <v>6318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>
        <f>34426-17495</f>
        <v>16931</v>
      </c>
      <c r="L285" s="19">
        <f>SUM(F285:K285)</f>
        <v>16931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12543</v>
      </c>
      <c r="G288" s="18">
        <v>4311</v>
      </c>
      <c r="H288" s="18">
        <v>155</v>
      </c>
      <c r="I288" s="18"/>
      <c r="J288" s="18">
        <v>155</v>
      </c>
      <c r="K288" s="18"/>
      <c r="L288" s="19">
        <f>SUM(F288:K288)</f>
        <v>17164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710268</v>
      </c>
      <c r="G290" s="42">
        <f t="shared" si="13"/>
        <v>355044</v>
      </c>
      <c r="H290" s="42">
        <f t="shared" si="13"/>
        <v>291361</v>
      </c>
      <c r="I290" s="42">
        <f t="shared" si="13"/>
        <v>45789</v>
      </c>
      <c r="J290" s="42">
        <f t="shared" si="13"/>
        <v>15543</v>
      </c>
      <c r="K290" s="42">
        <f t="shared" si="13"/>
        <v>16931</v>
      </c>
      <c r="L290" s="41">
        <f t="shared" si="13"/>
        <v>1434936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69212</v>
      </c>
      <c r="G296" s="18">
        <v>38287</v>
      </c>
      <c r="H296" s="18">
        <v>5639</v>
      </c>
      <c r="I296" s="18">
        <v>378</v>
      </c>
      <c r="J296" s="18">
        <v>1781</v>
      </c>
      <c r="K296" s="18"/>
      <c r="L296" s="19">
        <f>SUM(F296:K296)</f>
        <v>115297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>
        <v>422</v>
      </c>
      <c r="I298" s="18">
        <v>466</v>
      </c>
      <c r="J298" s="18"/>
      <c r="K298" s="18">
        <v>4270</v>
      </c>
      <c r="L298" s="19">
        <f>SUM(F298:K298)</f>
        <v>5158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27071</v>
      </c>
      <c r="G300" s="18">
        <v>6329</v>
      </c>
      <c r="H300" s="18">
        <v>28846</v>
      </c>
      <c r="I300" s="18">
        <v>2687</v>
      </c>
      <c r="J300" s="18">
        <v>877</v>
      </c>
      <c r="K300" s="18"/>
      <c r="L300" s="19">
        <f t="shared" ref="L300:L306" si="14">SUM(F300:K300)</f>
        <v>65810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9348</v>
      </c>
      <c r="G301" s="18">
        <v>1430</v>
      </c>
      <c r="H301" s="18">
        <v>25727</v>
      </c>
      <c r="I301" s="18">
        <v>442</v>
      </c>
      <c r="J301" s="18"/>
      <c r="K301" s="18"/>
      <c r="L301" s="19">
        <f t="shared" si="14"/>
        <v>36947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>
        <v>3179</v>
      </c>
      <c r="L304" s="19">
        <f t="shared" si="14"/>
        <v>3179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5775</v>
      </c>
      <c r="G307" s="18">
        <v>1985</v>
      </c>
      <c r="H307" s="18">
        <v>71</v>
      </c>
      <c r="I307" s="18">
        <v>71</v>
      </c>
      <c r="J307" s="18"/>
      <c r="K307" s="18"/>
      <c r="L307" s="19">
        <f>SUM(F307:K307)</f>
        <v>7902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111406</v>
      </c>
      <c r="G309" s="42">
        <f t="shared" si="15"/>
        <v>48031</v>
      </c>
      <c r="H309" s="42">
        <f t="shared" si="15"/>
        <v>60705</v>
      </c>
      <c r="I309" s="42">
        <f t="shared" si="15"/>
        <v>4044</v>
      </c>
      <c r="J309" s="42">
        <f t="shared" si="15"/>
        <v>2658</v>
      </c>
      <c r="K309" s="42">
        <f t="shared" si="15"/>
        <v>7449</v>
      </c>
      <c r="L309" s="41">
        <f t="shared" si="15"/>
        <v>234293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94355</v>
      </c>
      <c r="G315" s="18">
        <v>52195</v>
      </c>
      <c r="H315" s="18">
        <v>7687</v>
      </c>
      <c r="I315" s="18">
        <v>515</v>
      </c>
      <c r="J315" s="18">
        <v>2428</v>
      </c>
      <c r="K315" s="18"/>
      <c r="L315" s="19">
        <f>SUM(F315:K315)</f>
        <v>157180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610</v>
      </c>
      <c r="G316" s="18">
        <v>144</v>
      </c>
      <c r="H316" s="18">
        <v>1500</v>
      </c>
      <c r="I316" s="18">
        <v>20736</v>
      </c>
      <c r="J316" s="18">
        <v>47018</v>
      </c>
      <c r="K316" s="18"/>
      <c r="L316" s="19">
        <f>SUM(F316:K316)</f>
        <v>70008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36905</v>
      </c>
      <c r="G319" s="18">
        <v>8628</v>
      </c>
      <c r="H319" s="18">
        <v>39325</v>
      </c>
      <c r="I319" s="18">
        <v>3662</v>
      </c>
      <c r="J319" s="18">
        <v>1196</v>
      </c>
      <c r="K319" s="18"/>
      <c r="L319" s="19">
        <f t="shared" ref="L319:L325" si="16">SUM(F319:K319)</f>
        <v>89716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12744</v>
      </c>
      <c r="G320" s="18">
        <v>1950</v>
      </c>
      <c r="H320" s="18">
        <v>35255</v>
      </c>
      <c r="I320" s="18">
        <v>602</v>
      </c>
      <c r="J320" s="18"/>
      <c r="K320" s="18"/>
      <c r="L320" s="19">
        <f t="shared" si="16"/>
        <v>50551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>
        <v>4580</v>
      </c>
      <c r="L323" s="19">
        <f t="shared" si="16"/>
        <v>4580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7872</v>
      </c>
      <c r="G326" s="18">
        <v>2706</v>
      </c>
      <c r="H326" s="18">
        <v>97</v>
      </c>
      <c r="I326" s="18">
        <v>98</v>
      </c>
      <c r="J326" s="18"/>
      <c r="K326" s="18"/>
      <c r="L326" s="19">
        <f>SUM(F326:K326)</f>
        <v>10773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152486</v>
      </c>
      <c r="G328" s="42">
        <f t="shared" si="17"/>
        <v>65623</v>
      </c>
      <c r="H328" s="42">
        <f t="shared" si="17"/>
        <v>83864</v>
      </c>
      <c r="I328" s="42">
        <f t="shared" si="17"/>
        <v>25613</v>
      </c>
      <c r="J328" s="42">
        <f t="shared" si="17"/>
        <v>50642</v>
      </c>
      <c r="K328" s="42">
        <f t="shared" si="17"/>
        <v>4580</v>
      </c>
      <c r="L328" s="41">
        <f t="shared" si="17"/>
        <v>382808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36869</v>
      </c>
      <c r="G333" s="18">
        <v>6632</v>
      </c>
      <c r="H333" s="18">
        <v>1474</v>
      </c>
      <c r="I333" s="18">
        <v>4176</v>
      </c>
      <c r="J333" s="18"/>
      <c r="K333" s="18">
        <v>873</v>
      </c>
      <c r="L333" s="19">
        <f t="shared" si="18"/>
        <v>50024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36869</v>
      </c>
      <c r="G337" s="41">
        <f t="shared" si="19"/>
        <v>6632</v>
      </c>
      <c r="H337" s="41">
        <f t="shared" si="19"/>
        <v>1474</v>
      </c>
      <c r="I337" s="41">
        <f t="shared" si="19"/>
        <v>4176</v>
      </c>
      <c r="J337" s="41">
        <f t="shared" si="19"/>
        <v>0</v>
      </c>
      <c r="K337" s="41">
        <f t="shared" si="19"/>
        <v>873</v>
      </c>
      <c r="L337" s="41">
        <f t="shared" si="18"/>
        <v>50024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1011029</v>
      </c>
      <c r="G338" s="41">
        <f t="shared" si="20"/>
        <v>475330</v>
      </c>
      <c r="H338" s="41">
        <f t="shared" si="20"/>
        <v>437404</v>
      </c>
      <c r="I338" s="41">
        <f t="shared" si="20"/>
        <v>79622</v>
      </c>
      <c r="J338" s="41">
        <f t="shared" si="20"/>
        <v>68843</v>
      </c>
      <c r="K338" s="41">
        <f t="shared" si="20"/>
        <v>29833</v>
      </c>
      <c r="L338" s="41">
        <f t="shared" si="20"/>
        <v>2102061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1011029</v>
      </c>
      <c r="G352" s="41">
        <f>G338</f>
        <v>475330</v>
      </c>
      <c r="H352" s="41">
        <f>H338</f>
        <v>437404</v>
      </c>
      <c r="I352" s="41">
        <f>I338</f>
        <v>79622</v>
      </c>
      <c r="J352" s="41">
        <f>J338</f>
        <v>68843</v>
      </c>
      <c r="K352" s="47">
        <f>K338+K351</f>
        <v>29833</v>
      </c>
      <c r="L352" s="41">
        <f>L338+L351</f>
        <v>2102061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352122</v>
      </c>
      <c r="I358" s="18"/>
      <c r="J358" s="18"/>
      <c r="K358" s="18"/>
      <c r="L358" s="13">
        <f>SUM(F358:K358)</f>
        <v>352122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v>162117</v>
      </c>
      <c r="I359" s="18"/>
      <c r="J359" s="18"/>
      <c r="K359" s="18"/>
      <c r="L359" s="19">
        <f>SUM(F359:K359)</f>
        <v>162117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v>221009</v>
      </c>
      <c r="I360" s="18"/>
      <c r="J360" s="18"/>
      <c r="K360" s="18"/>
      <c r="L360" s="19">
        <f>SUM(F360:K360)</f>
        <v>221009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735248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735248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>
        <v>494009</v>
      </c>
      <c r="H442" s="18"/>
      <c r="I442" s="56">
        <f t="shared" si="33"/>
        <v>494009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494009</v>
      </c>
      <c r="H446" s="13">
        <f>SUM(H439:H445)</f>
        <v>0</v>
      </c>
      <c r="I446" s="13">
        <f>SUM(I439:I445)</f>
        <v>494009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494009</v>
      </c>
      <c r="H459" s="18"/>
      <c r="I459" s="56">
        <f t="shared" si="34"/>
        <v>494009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494009</v>
      </c>
      <c r="H460" s="83">
        <f>SUM(H454:H459)</f>
        <v>0</v>
      </c>
      <c r="I460" s="83">
        <f>SUM(I454:I459)</f>
        <v>494009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494009</v>
      </c>
      <c r="H461" s="42">
        <f>H452+H460</f>
        <v>0</v>
      </c>
      <c r="I461" s="42">
        <f>I452+I460</f>
        <v>494009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702998</v>
      </c>
      <c r="G465" s="18">
        <v>0</v>
      </c>
      <c r="H465" s="18">
        <v>70052</v>
      </c>
      <c r="I465" s="18">
        <v>0</v>
      </c>
      <c r="J465" s="18">
        <v>494009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31688059</v>
      </c>
      <c r="G468" s="18">
        <f t="shared" ref="G468:H468" si="35">G193</f>
        <v>735248</v>
      </c>
      <c r="H468" s="18">
        <f t="shared" si="35"/>
        <v>2061479</v>
      </c>
      <c r="I468" s="18"/>
      <c r="J468" s="18">
        <v>0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31688059</v>
      </c>
      <c r="G470" s="53">
        <f>SUM(G468:G469)</f>
        <v>735248</v>
      </c>
      <c r="H470" s="53">
        <f>SUM(H468:H469)</f>
        <v>2061479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31415823</v>
      </c>
      <c r="G472" s="18">
        <f>L362</f>
        <v>735248</v>
      </c>
      <c r="H472" s="18">
        <f>L352</f>
        <v>2102061</v>
      </c>
      <c r="I472" s="18"/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31415823</v>
      </c>
      <c r="G474" s="53">
        <f>SUM(G472:G473)</f>
        <v>735248</v>
      </c>
      <c r="H474" s="53">
        <f>SUM(H472:H473)</f>
        <v>2102061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975234</v>
      </c>
      <c r="G476" s="53">
        <f>(G465+G470)- G474</f>
        <v>0</v>
      </c>
      <c r="H476" s="53">
        <f>(H465+H470)- H474</f>
        <v>29470</v>
      </c>
      <c r="I476" s="53">
        <f>(I465+I470)- I474</f>
        <v>0</v>
      </c>
      <c r="J476" s="53">
        <f>(J465+J470)- J474</f>
        <v>494009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914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11195000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3.58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f>-565000+11065000</f>
        <v>10500000</v>
      </c>
      <c r="G495" s="18"/>
      <c r="H495" s="18"/>
      <c r="I495" s="18"/>
      <c r="J495" s="18"/>
      <c r="K495" s="53">
        <f>SUM(F495:J495)</f>
        <v>10500000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565000</v>
      </c>
      <c r="G497" s="18"/>
      <c r="H497" s="18"/>
      <c r="I497" s="18"/>
      <c r="J497" s="18"/>
      <c r="K497" s="53">
        <f t="shared" si="36"/>
        <v>565000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f>F495-F497</f>
        <v>9935000</v>
      </c>
      <c r="G498" s="204"/>
      <c r="H498" s="204"/>
      <c r="I498" s="204"/>
      <c r="J498" s="204"/>
      <c r="K498" s="205">
        <f t="shared" si="36"/>
        <v>9935000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f>-360327+4312759</f>
        <v>3952432</v>
      </c>
      <c r="G499" s="18"/>
      <c r="H499" s="18"/>
      <c r="I499" s="18"/>
      <c r="J499" s="18"/>
      <c r="K499" s="53">
        <f t="shared" si="36"/>
        <v>3952432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13887432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13887432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565000</v>
      </c>
      <c r="G501" s="204"/>
      <c r="H501" s="204"/>
      <c r="I501" s="204"/>
      <c r="J501" s="204"/>
      <c r="K501" s="205">
        <f t="shared" si="36"/>
        <v>565000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f>360327-20227</f>
        <v>340100</v>
      </c>
      <c r="G502" s="18"/>
      <c r="H502" s="18"/>
      <c r="I502" s="18"/>
      <c r="J502" s="18"/>
      <c r="K502" s="53">
        <f t="shared" si="36"/>
        <v>340100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905100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905100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1942096</v>
      </c>
      <c r="G521" s="18">
        <v>709950</v>
      </c>
      <c r="H521" s="18">
        <v>1179449</v>
      </c>
      <c r="I521" s="18">
        <v>20878</v>
      </c>
      <c r="J521" s="18">
        <v>4322</v>
      </c>
      <c r="K521" s="18"/>
      <c r="L521" s="88">
        <f>SUM(F521:K521)</f>
        <v>3856695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689627</v>
      </c>
      <c r="G522" s="18">
        <v>288375</v>
      </c>
      <c r="H522" s="18">
        <v>669282</v>
      </c>
      <c r="I522" s="18">
        <v>6561</v>
      </c>
      <c r="J522" s="18">
        <v>2185</v>
      </c>
      <c r="K522" s="18"/>
      <c r="L522" s="88">
        <f>SUM(F522:K522)</f>
        <v>1656030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936586</v>
      </c>
      <c r="G523" s="18">
        <v>414543</v>
      </c>
      <c r="H523" s="18">
        <v>1138661</v>
      </c>
      <c r="I523" s="18">
        <v>26757</v>
      </c>
      <c r="J523" s="18">
        <v>12978</v>
      </c>
      <c r="K523" s="18"/>
      <c r="L523" s="88">
        <f>SUM(F523:K523)</f>
        <v>2529525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3568309</v>
      </c>
      <c r="G524" s="108">
        <f t="shared" ref="G524:L524" si="37">SUM(G521:G523)</f>
        <v>1412868</v>
      </c>
      <c r="H524" s="108">
        <f t="shared" si="37"/>
        <v>2987392</v>
      </c>
      <c r="I524" s="108">
        <f t="shared" si="37"/>
        <v>54196</v>
      </c>
      <c r="J524" s="108">
        <f t="shared" si="37"/>
        <v>19485</v>
      </c>
      <c r="K524" s="108">
        <f t="shared" si="37"/>
        <v>0</v>
      </c>
      <c r="L524" s="89">
        <f t="shared" si="37"/>
        <v>8042250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143287</v>
      </c>
      <c r="G526" s="18">
        <v>70725</v>
      </c>
      <c r="H526" s="18">
        <v>2696</v>
      </c>
      <c r="I526" s="18"/>
      <c r="J526" s="18"/>
      <c r="K526" s="18"/>
      <c r="L526" s="88">
        <f>SUM(F526:K526)</f>
        <v>216708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65969</v>
      </c>
      <c r="G527" s="18">
        <v>32562</v>
      </c>
      <c r="H527" s="18">
        <v>1241</v>
      </c>
      <c r="I527" s="18"/>
      <c r="J527" s="18"/>
      <c r="K527" s="18"/>
      <c r="L527" s="88">
        <f>SUM(F527:K527)</f>
        <v>99772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89934</v>
      </c>
      <c r="G528" s="18">
        <v>44391</v>
      </c>
      <c r="H528" s="18">
        <v>1692</v>
      </c>
      <c r="I528" s="18"/>
      <c r="J528" s="18"/>
      <c r="K528" s="18"/>
      <c r="L528" s="88">
        <f>SUM(F528:K528)</f>
        <v>136017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299190</v>
      </c>
      <c r="G529" s="89">
        <f t="shared" ref="G529:L529" si="38">SUM(G526:G528)</f>
        <v>147678</v>
      </c>
      <c r="H529" s="89">
        <f t="shared" si="38"/>
        <v>5629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452497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52778</v>
      </c>
      <c r="G531" s="18">
        <v>26889</v>
      </c>
      <c r="H531" s="18">
        <v>2499</v>
      </c>
      <c r="I531" s="18"/>
      <c r="J531" s="18"/>
      <c r="K531" s="18">
        <v>161</v>
      </c>
      <c r="L531" s="88">
        <f>SUM(F531:K531)</f>
        <v>82327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24299</v>
      </c>
      <c r="G532" s="18">
        <v>12380</v>
      </c>
      <c r="H532" s="18">
        <v>1150</v>
      </c>
      <c r="I532" s="18"/>
      <c r="J532" s="18"/>
      <c r="K532" s="18">
        <v>74</v>
      </c>
      <c r="L532" s="88">
        <f>SUM(F532:K532)</f>
        <v>37903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33126</v>
      </c>
      <c r="G533" s="18">
        <v>16877</v>
      </c>
      <c r="H533" s="18">
        <v>1568</v>
      </c>
      <c r="I533" s="18"/>
      <c r="J533" s="18"/>
      <c r="K533" s="18">
        <v>101</v>
      </c>
      <c r="L533" s="88">
        <f>SUM(F533:K533)</f>
        <v>51672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110203</v>
      </c>
      <c r="G534" s="89">
        <f t="shared" ref="G534:L534" si="39">SUM(G531:G533)</f>
        <v>56146</v>
      </c>
      <c r="H534" s="89">
        <f t="shared" si="39"/>
        <v>5217</v>
      </c>
      <c r="I534" s="89">
        <f t="shared" si="39"/>
        <v>0</v>
      </c>
      <c r="J534" s="89">
        <f t="shared" si="39"/>
        <v>0</v>
      </c>
      <c r="K534" s="89">
        <f t="shared" si="39"/>
        <v>336</v>
      </c>
      <c r="L534" s="89">
        <f t="shared" si="39"/>
        <v>171902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1682</v>
      </c>
      <c r="I536" s="18"/>
      <c r="J536" s="18"/>
      <c r="K536" s="18"/>
      <c r="L536" s="88">
        <f>SUM(F536:K536)</f>
        <v>1682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774</v>
      </c>
      <c r="I537" s="18"/>
      <c r="J537" s="18"/>
      <c r="K537" s="18"/>
      <c r="L537" s="88">
        <f>SUM(F537:K537)</f>
        <v>774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1056</v>
      </c>
      <c r="I538" s="18"/>
      <c r="J538" s="18"/>
      <c r="K538" s="18"/>
      <c r="L538" s="88">
        <f>SUM(F538:K538)</f>
        <v>1056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3512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3512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82633</v>
      </c>
      <c r="I541" s="18"/>
      <c r="J541" s="18"/>
      <c r="K541" s="18"/>
      <c r="L541" s="88">
        <f>SUM(F541:K541)</f>
        <v>82633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52327</v>
      </c>
      <c r="I542" s="18"/>
      <c r="J542" s="18"/>
      <c r="K542" s="18"/>
      <c r="L542" s="88">
        <f>SUM(F542:K542)</f>
        <v>52327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92745</v>
      </c>
      <c r="I543" s="18"/>
      <c r="J543" s="18"/>
      <c r="K543" s="18"/>
      <c r="L543" s="88">
        <f>SUM(F543:K543)</f>
        <v>92745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227705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227705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3977702</v>
      </c>
      <c r="G545" s="89">
        <f t="shared" ref="G545:L545" si="42">G524+G529+G534+G539+G544</f>
        <v>1616692</v>
      </c>
      <c r="H545" s="89">
        <f t="shared" si="42"/>
        <v>3229455</v>
      </c>
      <c r="I545" s="89">
        <f t="shared" si="42"/>
        <v>54196</v>
      </c>
      <c r="J545" s="89">
        <f t="shared" si="42"/>
        <v>19485</v>
      </c>
      <c r="K545" s="89">
        <f t="shared" si="42"/>
        <v>336</v>
      </c>
      <c r="L545" s="89">
        <f t="shared" si="42"/>
        <v>8897866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3856695</v>
      </c>
      <c r="G549" s="87">
        <f>L526</f>
        <v>216708</v>
      </c>
      <c r="H549" s="87">
        <f>L531</f>
        <v>82327</v>
      </c>
      <c r="I549" s="87">
        <f>L536</f>
        <v>1682</v>
      </c>
      <c r="J549" s="87">
        <f>L541</f>
        <v>82633</v>
      </c>
      <c r="K549" s="87">
        <f>SUM(F549:J549)</f>
        <v>4240045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1656030</v>
      </c>
      <c r="G550" s="87">
        <f>L527</f>
        <v>99772</v>
      </c>
      <c r="H550" s="87">
        <f>L532</f>
        <v>37903</v>
      </c>
      <c r="I550" s="87">
        <f>L537</f>
        <v>774</v>
      </c>
      <c r="J550" s="87">
        <f>L542</f>
        <v>52327</v>
      </c>
      <c r="K550" s="87">
        <f>SUM(F550:J550)</f>
        <v>1846806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2529525</v>
      </c>
      <c r="G551" s="87">
        <f>L528</f>
        <v>136017</v>
      </c>
      <c r="H551" s="87">
        <f>L533</f>
        <v>51672</v>
      </c>
      <c r="I551" s="87">
        <f>L538</f>
        <v>1056</v>
      </c>
      <c r="J551" s="87">
        <f>L543</f>
        <v>92745</v>
      </c>
      <c r="K551" s="87">
        <f>SUM(F551:J551)</f>
        <v>2811015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3">SUM(F549:F551)</f>
        <v>8042250</v>
      </c>
      <c r="G552" s="89">
        <f t="shared" si="43"/>
        <v>452497</v>
      </c>
      <c r="H552" s="89">
        <f t="shared" si="43"/>
        <v>171902</v>
      </c>
      <c r="I552" s="89">
        <f t="shared" si="43"/>
        <v>3512</v>
      </c>
      <c r="J552" s="89">
        <f t="shared" si="43"/>
        <v>227705</v>
      </c>
      <c r="K552" s="89">
        <f t="shared" si="43"/>
        <v>8897866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2350</v>
      </c>
      <c r="I575" s="87">
        <f>SUM(F575:H575)</f>
        <v>2350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8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16024</v>
      </c>
      <c r="G579" s="18"/>
      <c r="H579" s="18">
        <v>27429</v>
      </c>
      <c r="I579" s="87">
        <f t="shared" si="48"/>
        <v>43453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8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f>401152+286775</f>
        <v>687927</v>
      </c>
      <c r="G582" s="18">
        <f>173157+262923</f>
        <v>436080</v>
      </c>
      <c r="H582" s="18">
        <f>482857+288730</f>
        <v>771587</v>
      </c>
      <c r="I582" s="87">
        <f t="shared" si="48"/>
        <v>1895594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27186</v>
      </c>
      <c r="I584" s="87">
        <f t="shared" si="48"/>
        <v>27186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8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f>-14258+501439</f>
        <v>487181</v>
      </c>
      <c r="I591" s="18">
        <f>-7356-8958+230862</f>
        <v>214548</v>
      </c>
      <c r="J591" s="18">
        <f>-54607-35685-10658+317169</f>
        <v>216219</v>
      </c>
      <c r="K591" s="104">
        <f t="shared" ref="K591:K597" si="49">SUM(H591:J591)</f>
        <v>917948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82633</v>
      </c>
      <c r="I592" s="18">
        <v>52327</v>
      </c>
      <c r="J592" s="18">
        <v>92745</v>
      </c>
      <c r="K592" s="104">
        <f t="shared" si="49"/>
        <v>227705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54607</v>
      </c>
      <c r="K593" s="104">
        <f t="shared" si="49"/>
        <v>54607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7356</v>
      </c>
      <c r="J594" s="18">
        <v>35685</v>
      </c>
      <c r="K594" s="104">
        <f t="shared" si="49"/>
        <v>43041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14258</v>
      </c>
      <c r="I595" s="18">
        <v>8958</v>
      </c>
      <c r="J595" s="18">
        <v>10658</v>
      </c>
      <c r="K595" s="104">
        <f t="shared" si="49"/>
        <v>33874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584072</v>
      </c>
      <c r="I598" s="108">
        <f>SUM(I591:I597)</f>
        <v>283189</v>
      </c>
      <c r="J598" s="108">
        <f>SUM(J591:J597)</f>
        <v>409914</v>
      </c>
      <c r="K598" s="108">
        <f>SUM(K591:K597)</f>
        <v>1277175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242497</v>
      </c>
      <c r="I604" s="18">
        <v>189845</v>
      </c>
      <c r="J604" s="18">
        <v>294638</v>
      </c>
      <c r="K604" s="104">
        <f>SUM(H604:J604)</f>
        <v>726980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242497</v>
      </c>
      <c r="I605" s="108">
        <f>SUM(I602:I604)</f>
        <v>189845</v>
      </c>
      <c r="J605" s="108">
        <f>SUM(J602:J604)</f>
        <v>294638</v>
      </c>
      <c r="K605" s="108">
        <f>SUM(K602:K604)</f>
        <v>726980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>
        <f>I279</f>
        <v>2336</v>
      </c>
      <c r="J611" s="18"/>
      <c r="K611" s="18"/>
      <c r="L611" s="88">
        <f>SUM(F611:K611)</f>
        <v>2336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>
        <v>422</v>
      </c>
      <c r="I612" s="18">
        <v>466</v>
      </c>
      <c r="J612" s="18"/>
      <c r="K612" s="18">
        <v>4270</v>
      </c>
      <c r="L612" s="88">
        <f>SUM(F612:K612)</f>
        <v>5158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0">SUM(F611:F613)</f>
        <v>0</v>
      </c>
      <c r="G614" s="108">
        <f t="shared" si="50"/>
        <v>0</v>
      </c>
      <c r="H614" s="108">
        <f t="shared" si="50"/>
        <v>422</v>
      </c>
      <c r="I614" s="108">
        <f t="shared" si="50"/>
        <v>2802</v>
      </c>
      <c r="J614" s="108">
        <f t="shared" si="50"/>
        <v>0</v>
      </c>
      <c r="K614" s="108">
        <f t="shared" si="50"/>
        <v>4270</v>
      </c>
      <c r="L614" s="89">
        <f t="shared" si="50"/>
        <v>7494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1677994</v>
      </c>
      <c r="H617" s="109">
        <f>SUM(F52)</f>
        <v>1677994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89649</v>
      </c>
      <c r="H618" s="109">
        <f>SUM(G52)</f>
        <v>89649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1044810</v>
      </c>
      <c r="H619" s="109">
        <f>SUM(H52)</f>
        <v>1044810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494009</v>
      </c>
      <c r="H621" s="109">
        <f>SUM(J52)</f>
        <v>494009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975234</v>
      </c>
      <c r="H622" s="109">
        <f>F476</f>
        <v>975234</v>
      </c>
      <c r="I622" s="121" t="s">
        <v>101</v>
      </c>
      <c r="J622" s="109">
        <f t="shared" ref="J622:J655" si="51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29470</v>
      </c>
      <c r="H624" s="109">
        <f>H476</f>
        <v>29470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494009</v>
      </c>
      <c r="H626" s="109">
        <f>J476</f>
        <v>494009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31688059</v>
      </c>
      <c r="H627" s="104">
        <f>SUM(F468)</f>
        <v>31688059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735248</v>
      </c>
      <c r="H628" s="104">
        <f>SUM(G468)</f>
        <v>735248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2061479</v>
      </c>
      <c r="H629" s="104">
        <f>SUM(H468)</f>
        <v>2061479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31415823</v>
      </c>
      <c r="H632" s="104">
        <f>SUM(F472)</f>
        <v>31415823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2102061</v>
      </c>
      <c r="H633" s="104">
        <f>SUM(H472)</f>
        <v>2102061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735248</v>
      </c>
      <c r="H635" s="104">
        <f>SUM(G472)</f>
        <v>735248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1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494009</v>
      </c>
      <c r="H640" s="104">
        <f>SUM(G461)</f>
        <v>494009</v>
      </c>
      <c r="I640" s="140" t="s">
        <v>852</v>
      </c>
      <c r="J640" s="109">
        <f t="shared" si="51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1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494009</v>
      </c>
      <c r="H642" s="104">
        <f>SUM(I461)</f>
        <v>494009</v>
      </c>
      <c r="I642" s="140" t="s">
        <v>854</v>
      </c>
      <c r="J642" s="109">
        <f t="shared" si="51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1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1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1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1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1277175</v>
      </c>
      <c r="H647" s="104">
        <f>L208+L226+L244</f>
        <v>1277175</v>
      </c>
      <c r="I647" s="140" t="s">
        <v>394</v>
      </c>
      <c r="J647" s="109">
        <f t="shared" si="51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726980</v>
      </c>
      <c r="H648" s="104">
        <f>(J257+J338)-(J255+J336)</f>
        <v>726980</v>
      </c>
      <c r="I648" s="140" t="s">
        <v>697</v>
      </c>
      <c r="J648" s="109">
        <f t="shared" si="51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584072</v>
      </c>
      <c r="H649" s="104">
        <f>H598</f>
        <v>584072</v>
      </c>
      <c r="I649" s="140" t="s">
        <v>386</v>
      </c>
      <c r="J649" s="109">
        <f t="shared" si="51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283189</v>
      </c>
      <c r="H650" s="104">
        <f>I598</f>
        <v>283189</v>
      </c>
      <c r="I650" s="140" t="s">
        <v>387</v>
      </c>
      <c r="J650" s="109">
        <f t="shared" si="51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409914</v>
      </c>
      <c r="H651" s="104">
        <f>J598</f>
        <v>409914</v>
      </c>
      <c r="I651" s="140" t="s">
        <v>388</v>
      </c>
      <c r="J651" s="109">
        <f t="shared" si="51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34687</v>
      </c>
      <c r="H652" s="104">
        <f>K263+K345</f>
        <v>34687</v>
      </c>
      <c r="I652" s="140" t="s">
        <v>395</v>
      </c>
      <c r="J652" s="109">
        <f t="shared" si="51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1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1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1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15653380</v>
      </c>
      <c r="G660" s="19">
        <f>(L229+L309+L359)</f>
        <v>6221276</v>
      </c>
      <c r="H660" s="19">
        <f>(L247+L328+L360)</f>
        <v>10960514</v>
      </c>
      <c r="I660" s="19">
        <f>SUM(F660:H660)</f>
        <v>32835170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170793.40338226015</v>
      </c>
      <c r="G661" s="19">
        <f>(L359/IF(SUM(L358:L360)=0,1,SUM(L358:L360))*(SUM(G97:G110)))</f>
        <v>78633.298050453726</v>
      </c>
      <c r="H661" s="19">
        <f>(L360/IF(SUM(L358:L360)=0,1,SUM(L358:L360))*(SUM(G97:G110)))</f>
        <v>107198.29856728614</v>
      </c>
      <c r="I661" s="19">
        <f>SUM(F661:H661)</f>
        <v>356625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551693</v>
      </c>
      <c r="G662" s="19">
        <f>(L226+L306)-(J226+J306)</f>
        <v>268282</v>
      </c>
      <c r="H662" s="19">
        <f>(L244+L325)-(J244+J325)</f>
        <v>389592</v>
      </c>
      <c r="I662" s="19">
        <f>SUM(F662:H662)</f>
        <v>1209567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948784</v>
      </c>
      <c r="G663" s="199">
        <f>SUM(G575:G587)+SUM(I602:I604)+L612</f>
        <v>631083</v>
      </c>
      <c r="H663" s="199">
        <f>SUM(H575:H587)+SUM(J602:J604)+L613</f>
        <v>1123190</v>
      </c>
      <c r="I663" s="19">
        <f>SUM(F663:H663)</f>
        <v>2703057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13982109.59661774</v>
      </c>
      <c r="G664" s="19">
        <f>G660-SUM(G661:G663)</f>
        <v>5243277.7019495461</v>
      </c>
      <c r="H664" s="19">
        <f>H660-SUM(H661:H663)</f>
        <v>9340533.7014327142</v>
      </c>
      <c r="I664" s="19">
        <f>I660-SUM(I661:I663)</f>
        <v>28565921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829.98</v>
      </c>
      <c r="G665" s="248">
        <v>382.81</v>
      </c>
      <c r="H665" s="248">
        <v>521.96</v>
      </c>
      <c r="I665" s="19">
        <f>SUM(F665:H665)</f>
        <v>1734.75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16846.32</v>
      </c>
      <c r="G667" s="19">
        <f>ROUND(G664/G665,2)</f>
        <v>13696.81</v>
      </c>
      <c r="H667" s="19">
        <f>ROUND(H664/H665,2)</f>
        <v>17895.11</v>
      </c>
      <c r="I667" s="19">
        <f>ROUND(I664/I665,2)</f>
        <v>16466.88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-0.95</v>
      </c>
      <c r="I670" s="19">
        <f>SUM(F670:H670)</f>
        <v>-0.95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16846.32</v>
      </c>
      <c r="G672" s="19">
        <f>ROUND((G664+G669)/(G665+G670),2)</f>
        <v>13696.81</v>
      </c>
      <c r="H672" s="19">
        <f>ROUND((H664+H669)/(H665+H670),2)</f>
        <v>17927.740000000002</v>
      </c>
      <c r="I672" s="19">
        <f>ROUND((I664+I669)/(I665+I670),2)</f>
        <v>16475.900000000001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F28" sqref="F2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Claremont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81" t="s">
        <v>778</v>
      </c>
      <c r="B3" s="281"/>
      <c r="C3" s="281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80" t="s">
        <v>777</v>
      </c>
      <c r="C6" s="280"/>
    </row>
    <row r="7" spans="1:3" x14ac:dyDescent="0.2">
      <c r="A7" s="239" t="s">
        <v>780</v>
      </c>
      <c r="B7" s="278" t="s">
        <v>776</v>
      </c>
      <c r="C7" s="279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6827002</v>
      </c>
      <c r="C9" s="229">
        <f>'DOE25'!G197+'DOE25'!G215+'DOE25'!G233+'DOE25'!G276+'DOE25'!G295+'DOE25'!G314</f>
        <v>3216312</v>
      </c>
    </row>
    <row r="10" spans="1:3" x14ac:dyDescent="0.2">
      <c r="A10" t="s">
        <v>773</v>
      </c>
      <c r="B10" s="240">
        <v>6501596</v>
      </c>
      <c r="C10" s="240">
        <v>3127442</v>
      </c>
    </row>
    <row r="11" spans="1:3" x14ac:dyDescent="0.2">
      <c r="A11" t="s">
        <v>774</v>
      </c>
      <c r="B11" s="240">
        <v>251288</v>
      </c>
      <c r="C11" s="240">
        <v>70350</v>
      </c>
    </row>
    <row r="12" spans="1:3" x14ac:dyDescent="0.2">
      <c r="A12" t="s">
        <v>775</v>
      </c>
      <c r="B12" s="240">
        <v>74118</v>
      </c>
      <c r="C12" s="240">
        <v>18520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6827002</v>
      </c>
      <c r="C13" s="231">
        <f>SUM(C10:C12)</f>
        <v>3216312</v>
      </c>
    </row>
    <row r="14" spans="1:3" x14ac:dyDescent="0.2">
      <c r="B14" s="230"/>
      <c r="C14" s="230"/>
    </row>
    <row r="15" spans="1:3" x14ac:dyDescent="0.2">
      <c r="B15" s="280" t="s">
        <v>777</v>
      </c>
      <c r="C15" s="280"/>
    </row>
    <row r="16" spans="1:3" x14ac:dyDescent="0.2">
      <c r="A16" s="239" t="s">
        <v>781</v>
      </c>
      <c r="B16" s="278" t="s">
        <v>701</v>
      </c>
      <c r="C16" s="279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3568309</v>
      </c>
      <c r="C18" s="229">
        <f>'DOE25'!G198+'DOE25'!G216+'DOE25'!G234+'DOE25'!G277+'DOE25'!G296+'DOE25'!G315</f>
        <v>1412869</v>
      </c>
    </row>
    <row r="19" spans="1:3" x14ac:dyDescent="0.2">
      <c r="A19" t="s">
        <v>773</v>
      </c>
      <c r="B19" s="240">
        <v>1287786</v>
      </c>
      <c r="C19" s="240">
        <v>625459</v>
      </c>
    </row>
    <row r="20" spans="1:3" x14ac:dyDescent="0.2">
      <c r="A20" t="s">
        <v>774</v>
      </c>
      <c r="B20" s="240">
        <v>1642926</v>
      </c>
      <c r="C20" s="240">
        <v>484825</v>
      </c>
    </row>
    <row r="21" spans="1:3" x14ac:dyDescent="0.2">
      <c r="A21" t="s">
        <v>775</v>
      </c>
      <c r="B21" s="240">
        <v>637597</v>
      </c>
      <c r="C21" s="240">
        <v>302585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3568309</v>
      </c>
      <c r="C22" s="231">
        <f>SUM(C19:C21)</f>
        <v>1412869</v>
      </c>
    </row>
    <row r="23" spans="1:3" x14ac:dyDescent="0.2">
      <c r="B23" s="230"/>
      <c r="C23" s="230"/>
    </row>
    <row r="24" spans="1:3" x14ac:dyDescent="0.2">
      <c r="B24" s="280" t="s">
        <v>777</v>
      </c>
      <c r="C24" s="280"/>
    </row>
    <row r="25" spans="1:3" x14ac:dyDescent="0.2">
      <c r="A25" s="239" t="s">
        <v>782</v>
      </c>
      <c r="B25" s="278" t="s">
        <v>702</v>
      </c>
      <c r="C25" s="279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481014</v>
      </c>
      <c r="C27" s="234">
        <f>'DOE25'!G199+'DOE25'!G217+'DOE25'!G235+'DOE25'!G278+'DOE25'!G297+'DOE25'!G316</f>
        <v>250742</v>
      </c>
    </row>
    <row r="28" spans="1:3" x14ac:dyDescent="0.2">
      <c r="A28" t="s">
        <v>773</v>
      </c>
      <c r="B28" s="240">
        <f>481014-110</f>
        <v>480904</v>
      </c>
      <c r="C28" s="240">
        <v>250715</v>
      </c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>
        <v>110</v>
      </c>
      <c r="C30" s="240">
        <v>27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481014</v>
      </c>
      <c r="C31" s="231">
        <f>SUM(C28:C30)</f>
        <v>250742</v>
      </c>
    </row>
    <row r="33" spans="1:3" x14ac:dyDescent="0.2">
      <c r="B33" s="280" t="s">
        <v>777</v>
      </c>
      <c r="C33" s="280"/>
    </row>
    <row r="34" spans="1:3" x14ac:dyDescent="0.2">
      <c r="A34" s="239" t="s">
        <v>783</v>
      </c>
      <c r="B34" s="278" t="s">
        <v>703</v>
      </c>
      <c r="C34" s="279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251835</v>
      </c>
      <c r="C36" s="235">
        <f>'DOE25'!G200+'DOE25'!G218+'DOE25'!G236+'DOE25'!G279+'DOE25'!G298+'DOE25'!G317</f>
        <v>66402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251835</v>
      </c>
      <c r="C39" s="240">
        <v>66402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251835</v>
      </c>
      <c r="C40" s="231">
        <f>SUM(C37:C39)</f>
        <v>66402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0" t="s">
        <v>784</v>
      </c>
      <c r="B1" s="285"/>
      <c r="C1" s="285"/>
      <c r="D1" s="285"/>
      <c r="E1" s="285"/>
      <c r="F1" s="285"/>
      <c r="G1" s="285"/>
      <c r="H1" s="285"/>
      <c r="I1" s="181"/>
    </row>
    <row r="2" spans="1:9" x14ac:dyDescent="0.2">
      <c r="A2" s="33" t="s">
        <v>711</v>
      </c>
      <c r="B2" s="265" t="str">
        <f>'DOE25'!A2</f>
        <v>Claremont School District</v>
      </c>
      <c r="C2" s="181"/>
      <c r="D2" s="181" t="s">
        <v>786</v>
      </c>
      <c r="E2" s="181" t="s">
        <v>788</v>
      </c>
      <c r="F2" s="282" t="s">
        <v>815</v>
      </c>
      <c r="G2" s="283"/>
      <c r="H2" s="284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18955337</v>
      </c>
      <c r="D5" s="20">
        <f>SUM('DOE25'!L197:L200)+SUM('DOE25'!L215:L218)+SUM('DOE25'!L233:L236)-F5-G5</f>
        <v>18878646</v>
      </c>
      <c r="E5" s="243"/>
      <c r="F5" s="255">
        <f>SUM('DOE25'!J197:J200)+SUM('DOE25'!J215:J218)+SUM('DOE25'!J233:J236)</f>
        <v>39367</v>
      </c>
      <c r="G5" s="53">
        <f>SUM('DOE25'!K197:K200)+SUM('DOE25'!K215:K218)+SUM('DOE25'!K233:K236)</f>
        <v>37324</v>
      </c>
      <c r="H5" s="259"/>
    </row>
    <row r="6" spans="1:9" x14ac:dyDescent="0.2">
      <c r="A6" s="32">
        <v>2100</v>
      </c>
      <c r="B6" t="s">
        <v>795</v>
      </c>
      <c r="C6" s="245">
        <f t="shared" si="0"/>
        <v>1678819</v>
      </c>
      <c r="D6" s="20">
        <f>'DOE25'!L202+'DOE25'!L220+'DOE25'!L238-F6-G6</f>
        <v>1674818</v>
      </c>
      <c r="E6" s="243"/>
      <c r="F6" s="255">
        <f>'DOE25'!J202+'DOE25'!J220+'DOE25'!J238</f>
        <v>3276</v>
      </c>
      <c r="G6" s="53">
        <f>'DOE25'!K202+'DOE25'!K220+'DOE25'!K238</f>
        <v>725</v>
      </c>
      <c r="H6" s="259"/>
    </row>
    <row r="7" spans="1:9" x14ac:dyDescent="0.2">
      <c r="A7" s="32">
        <v>2200</v>
      </c>
      <c r="B7" t="s">
        <v>828</v>
      </c>
      <c r="C7" s="245">
        <f t="shared" si="0"/>
        <v>1279006</v>
      </c>
      <c r="D7" s="20">
        <f>'DOE25'!L203+'DOE25'!L221+'DOE25'!L239-F7-G7</f>
        <v>819086</v>
      </c>
      <c r="E7" s="243"/>
      <c r="F7" s="255">
        <f>'DOE25'!J203+'DOE25'!J221+'DOE25'!J239</f>
        <v>459920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1206608</v>
      </c>
      <c r="D8" s="243"/>
      <c r="E8" s="20">
        <f>'DOE25'!L204+'DOE25'!L222+'DOE25'!L240-F8-G8-D9-D11</f>
        <v>1189552</v>
      </c>
      <c r="F8" s="255">
        <f>'DOE25'!J204+'DOE25'!J222+'DOE25'!J240</f>
        <v>0</v>
      </c>
      <c r="G8" s="53">
        <f>'DOE25'!K204+'DOE25'!K222+'DOE25'!K240</f>
        <v>17056</v>
      </c>
      <c r="H8" s="259"/>
    </row>
    <row r="9" spans="1:9" x14ac:dyDescent="0.2">
      <c r="A9" s="32">
        <v>2310</v>
      </c>
      <c r="B9" t="s">
        <v>812</v>
      </c>
      <c r="C9" s="245">
        <f t="shared" si="0"/>
        <v>123632</v>
      </c>
      <c r="D9" s="244">
        <v>123632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23956</v>
      </c>
      <c r="D10" s="243"/>
      <c r="E10" s="244">
        <v>23956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385507</v>
      </c>
      <c r="D11" s="244">
        <v>385507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2511726</v>
      </c>
      <c r="D12" s="20">
        <f>'DOE25'!L205+'DOE25'!L223+'DOE25'!L241-F12-G12</f>
        <v>2492037</v>
      </c>
      <c r="E12" s="243"/>
      <c r="F12" s="255">
        <f>'DOE25'!J205+'DOE25'!J223+'DOE25'!J241</f>
        <v>2032</v>
      </c>
      <c r="G12" s="53">
        <f>'DOE25'!K205+'DOE25'!K223+'DOE25'!K241</f>
        <v>17657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2553444</v>
      </c>
      <c r="D14" s="20">
        <f>'DOE25'!L207+'DOE25'!L225+'DOE25'!L243-F14-G14</f>
        <v>2467510</v>
      </c>
      <c r="E14" s="243"/>
      <c r="F14" s="255">
        <f>'DOE25'!J207+'DOE25'!J225+'DOE25'!J243</f>
        <v>85934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1277175</v>
      </c>
      <c r="D15" s="20">
        <f>'DOE25'!L208+'DOE25'!L226+'DOE25'!L244-F15-G15</f>
        <v>1209567</v>
      </c>
      <c r="E15" s="243"/>
      <c r="F15" s="255">
        <f>'DOE25'!J208+'DOE25'!J226+'DOE25'!J244</f>
        <v>67608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76631</v>
      </c>
      <c r="D16" s="243"/>
      <c r="E16" s="20">
        <f>'DOE25'!L209+'DOE25'!L227+'DOE25'!L245-F16-G16</f>
        <v>76631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98394</v>
      </c>
      <c r="D17" s="20">
        <f>'DOE25'!L251-F17-G17</f>
        <v>98394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26785</v>
      </c>
      <c r="D19" s="20">
        <f>'DOE25'!L253-F19-G19</f>
        <v>26785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1208072</v>
      </c>
      <c r="D25" s="243"/>
      <c r="E25" s="243"/>
      <c r="F25" s="258"/>
      <c r="G25" s="256"/>
      <c r="H25" s="257">
        <f>'DOE25'!L260+'DOE25'!L261+'DOE25'!L341+'DOE25'!L342</f>
        <v>1208072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735248</v>
      </c>
      <c r="D29" s="20">
        <f>'DOE25'!L358+'DOE25'!L359+'DOE25'!L360-'DOE25'!I367-F29-G29</f>
        <v>735248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2102061</v>
      </c>
      <c r="D31" s="20">
        <f>'DOE25'!L290+'DOE25'!L309+'DOE25'!L328+'DOE25'!L333+'DOE25'!L334+'DOE25'!L335-F31-G31</f>
        <v>2003385</v>
      </c>
      <c r="E31" s="243"/>
      <c r="F31" s="255">
        <f>'DOE25'!J290+'DOE25'!J309+'DOE25'!J328+'DOE25'!J333+'DOE25'!J334+'DOE25'!J335</f>
        <v>68843</v>
      </c>
      <c r="G31" s="53">
        <f>'DOE25'!K290+'DOE25'!K309+'DOE25'!K328+'DOE25'!K333+'DOE25'!K334+'DOE25'!K335</f>
        <v>29833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30914615</v>
      </c>
      <c r="E33" s="246">
        <f>SUM(E5:E31)</f>
        <v>1290139</v>
      </c>
      <c r="F33" s="246">
        <f>SUM(F5:F31)</f>
        <v>726980</v>
      </c>
      <c r="G33" s="246">
        <f>SUM(G5:G31)</f>
        <v>102595</v>
      </c>
      <c r="H33" s="246">
        <f>SUM(H5:H31)</f>
        <v>1208072</v>
      </c>
    </row>
    <row r="35" spans="2:8" ht="12" thickBot="1" x14ac:dyDescent="0.25">
      <c r="B35" s="253" t="s">
        <v>841</v>
      </c>
      <c r="D35" s="254">
        <f>E33</f>
        <v>1290139</v>
      </c>
      <c r="E35" s="249"/>
    </row>
    <row r="36" spans="2:8" ht="12" thickTop="1" x14ac:dyDescent="0.2">
      <c r="B36" t="s">
        <v>809</v>
      </c>
      <c r="D36" s="20">
        <f>D33</f>
        <v>30914615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0" activePane="bottomLeft" state="frozen"/>
      <selection activeCell="F46" sqref="F46"/>
      <selection pane="bottomLeft" activeCell="B163" sqref="B16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Claremont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496290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943088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210871</v>
      </c>
      <c r="D12" s="95">
        <f>'DOE25'!G13</f>
        <v>45298</v>
      </c>
      <c r="E12" s="95">
        <f>'DOE25'!H13</f>
        <v>1044810</v>
      </c>
      <c r="F12" s="95">
        <f>'DOE25'!I13</f>
        <v>0</v>
      </c>
      <c r="G12" s="95">
        <f>'DOE25'!J13</f>
        <v>494009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21200</v>
      </c>
      <c r="D13" s="95">
        <f>'DOE25'!G14</f>
        <v>33252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11099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6545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1677994</v>
      </c>
      <c r="D18" s="41">
        <f>SUM(D8:D17)</f>
        <v>89649</v>
      </c>
      <c r="E18" s="41">
        <f>SUM(E8:E17)</f>
        <v>1044810</v>
      </c>
      <c r="F18" s="41">
        <f>SUM(F8:F17)</f>
        <v>0</v>
      </c>
      <c r="G18" s="41">
        <f>SUM(G8:G17)</f>
        <v>494009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85112</v>
      </c>
      <c r="E21" s="95">
        <f>'DOE25'!H22</f>
        <v>857976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300464</v>
      </c>
      <c r="D23" s="95">
        <f>'DOE25'!G24</f>
        <v>0</v>
      </c>
      <c r="E23" s="95">
        <f>'DOE25'!H24</f>
        <v>3072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402296</v>
      </c>
      <c r="D28" s="95">
        <f>'DOE25'!G29</f>
        <v>4537</v>
      </c>
      <c r="E28" s="95">
        <f>'DOE25'!H29</f>
        <v>137162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17130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702760</v>
      </c>
      <c r="D31" s="41">
        <f>SUM(D21:D30)</f>
        <v>89649</v>
      </c>
      <c r="E31" s="41">
        <f>SUM(E21:E30)</f>
        <v>1015340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197765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196794</v>
      </c>
      <c r="D47" s="95">
        <f>'DOE25'!G48</f>
        <v>0</v>
      </c>
      <c r="E47" s="95">
        <f>'DOE25'!H48</f>
        <v>29470</v>
      </c>
      <c r="F47" s="95">
        <f>'DOE25'!I48</f>
        <v>0</v>
      </c>
      <c r="G47" s="95">
        <f>'DOE25'!J48</f>
        <v>494009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137148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443527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975234</v>
      </c>
      <c r="D50" s="41">
        <f>SUM(D34:D49)</f>
        <v>0</v>
      </c>
      <c r="E50" s="41">
        <f>SUM(E34:E49)</f>
        <v>29470</v>
      </c>
      <c r="F50" s="41">
        <f>SUM(F34:F49)</f>
        <v>0</v>
      </c>
      <c r="G50" s="41">
        <f>SUM(G34:G49)</f>
        <v>494009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1677994</v>
      </c>
      <c r="D51" s="41">
        <f>D50+D31</f>
        <v>89649</v>
      </c>
      <c r="E51" s="41">
        <f>E50+E31</f>
        <v>1044810</v>
      </c>
      <c r="F51" s="41">
        <f>F50+F31</f>
        <v>0</v>
      </c>
      <c r="G51" s="41">
        <f>G50+G31</f>
        <v>494009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15880636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519999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441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51254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356625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408802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980496</v>
      </c>
      <c r="D62" s="130">
        <f>SUM(D57:D61)</f>
        <v>356625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16861132</v>
      </c>
      <c r="D63" s="22">
        <f>D56+D62</f>
        <v>356625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12341491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1542291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13664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13897446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231023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16846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2915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247869</v>
      </c>
      <c r="D78" s="130">
        <f>SUM(D72:D77)</f>
        <v>2915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31452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14145315</v>
      </c>
      <c r="D81" s="130">
        <f>SUM(D79:D80)+D78+D70</f>
        <v>2915</v>
      </c>
      <c r="E81" s="130">
        <f>SUM(E79:E80)+E78+E70</f>
        <v>31452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681612</v>
      </c>
      <c r="D88" s="95">
        <f>SUM('DOE25'!G153:G161)</f>
        <v>341021</v>
      </c>
      <c r="E88" s="95">
        <f>SUM('DOE25'!H153:H161)</f>
        <v>2030027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681612</v>
      </c>
      <c r="D91" s="131">
        <f>SUM(D85:D90)</f>
        <v>341021</v>
      </c>
      <c r="E91" s="131">
        <f>SUM(E85:E90)</f>
        <v>2030027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34687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34687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31688059</v>
      </c>
      <c r="D104" s="86">
        <f>D63+D81+D91+D103</f>
        <v>735248</v>
      </c>
      <c r="E104" s="86">
        <f>E63+E81+E91+E103</f>
        <v>2061479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9932114</v>
      </c>
      <c r="D109" s="24" t="s">
        <v>286</v>
      </c>
      <c r="E109" s="95">
        <f>('DOE25'!L276)+('DOE25'!L295)+('DOE25'!L314)</f>
        <v>731468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7791643</v>
      </c>
      <c r="D110" s="24" t="s">
        <v>286</v>
      </c>
      <c r="E110" s="95">
        <f>('DOE25'!L277)+('DOE25'!L296)+('DOE25'!L315)</f>
        <v>532047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770536</v>
      </c>
      <c r="D111" s="24" t="s">
        <v>286</v>
      </c>
      <c r="E111" s="95">
        <f>('DOE25'!L278)+('DOE25'!L297)+('DOE25'!L316)</f>
        <v>70008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461044</v>
      </c>
      <c r="D112" s="24" t="s">
        <v>286</v>
      </c>
      <c r="E112" s="95">
        <f>+('DOE25'!L279)+('DOE25'!L298)+('DOE25'!L317)</f>
        <v>7494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125179</v>
      </c>
      <c r="D114" s="24" t="s">
        <v>286</v>
      </c>
      <c r="E114" s="95">
        <f>+ SUM('DOE25'!L333:L335)</f>
        <v>50024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19080516</v>
      </c>
      <c r="D115" s="86">
        <f>SUM(D109:D114)</f>
        <v>0</v>
      </c>
      <c r="E115" s="86">
        <f>SUM(E109:E114)</f>
        <v>1391041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1678819</v>
      </c>
      <c r="D118" s="24" t="s">
        <v>286</v>
      </c>
      <c r="E118" s="95">
        <f>+('DOE25'!L281)+('DOE25'!L300)+('DOE25'!L319)</f>
        <v>416741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1279006</v>
      </c>
      <c r="D119" s="24" t="s">
        <v>286</v>
      </c>
      <c r="E119" s="95">
        <f>+('DOE25'!L282)+('DOE25'!L301)+('DOE25'!L320)</f>
        <v>227432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1715747</v>
      </c>
      <c r="D120" s="24" t="s">
        <v>286</v>
      </c>
      <c r="E120" s="95">
        <f>+('DOE25'!L283)+('DOE25'!L302)+('DOE25'!L321)</f>
        <v>6318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2511726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24690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2553444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1277175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76631</v>
      </c>
      <c r="D125" s="24" t="s">
        <v>286</v>
      </c>
      <c r="E125" s="95">
        <f>+('DOE25'!L288)+('DOE25'!L307)+('DOE25'!L326)</f>
        <v>35839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735248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11092548</v>
      </c>
      <c r="D128" s="86">
        <f>SUM(D118:D127)</f>
        <v>735248</v>
      </c>
      <c r="E128" s="86">
        <f>SUM(E118:E127)</f>
        <v>711020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671187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536885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34687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1242759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31415823</v>
      </c>
      <c r="D145" s="86">
        <f>(D115+D128+D144)</f>
        <v>735248</v>
      </c>
      <c r="E145" s="86">
        <f>(E115+E128+E144)</f>
        <v>2102061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08/13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08/33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11195000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3.58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10500000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10500000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565000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565000</v>
      </c>
    </row>
    <row r="159" spans="1:9" x14ac:dyDescent="0.2">
      <c r="A159" s="22" t="s">
        <v>35</v>
      </c>
      <c r="B159" s="137">
        <f>'DOE25'!F498</f>
        <v>9935000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9935000</v>
      </c>
    </row>
    <row r="160" spans="1:9" x14ac:dyDescent="0.2">
      <c r="A160" s="22" t="s">
        <v>36</v>
      </c>
      <c r="B160" s="137">
        <f>'DOE25'!F499</f>
        <v>3952432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3952432</v>
      </c>
    </row>
    <row r="161" spans="1:7" x14ac:dyDescent="0.2">
      <c r="A161" s="22" t="s">
        <v>37</v>
      </c>
      <c r="B161" s="137">
        <f>'DOE25'!F500</f>
        <v>13887432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13887432</v>
      </c>
    </row>
    <row r="162" spans="1:7" x14ac:dyDescent="0.2">
      <c r="A162" s="22" t="s">
        <v>38</v>
      </c>
      <c r="B162" s="137">
        <f>'DOE25'!F501</f>
        <v>565000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565000</v>
      </c>
    </row>
    <row r="163" spans="1:7" x14ac:dyDescent="0.2">
      <c r="A163" s="22" t="s">
        <v>39</v>
      </c>
      <c r="B163" s="137">
        <f>'DOE25'!F502</f>
        <v>340100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340100</v>
      </c>
    </row>
    <row r="164" spans="1:7" x14ac:dyDescent="0.2">
      <c r="A164" s="22" t="s">
        <v>246</v>
      </c>
      <c r="B164" s="137">
        <f>'DOE25'!F503</f>
        <v>905100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905100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6" t="s">
        <v>734</v>
      </c>
      <c r="B1" s="286"/>
      <c r="C1" s="286"/>
      <c r="D1" s="286"/>
    </row>
    <row r="2" spans="1:4" x14ac:dyDescent="0.2">
      <c r="A2" s="187" t="s">
        <v>711</v>
      </c>
      <c r="B2" s="186" t="str">
        <f>'DOE25'!A2</f>
        <v>Claremont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16846</v>
      </c>
    </row>
    <row r="5" spans="1:4" x14ac:dyDescent="0.2">
      <c r="B5" t="s">
        <v>698</v>
      </c>
      <c r="C5" s="179">
        <f>IF('DOE25'!G665+'DOE25'!G670=0,0,ROUND('DOE25'!G672,0))</f>
        <v>13697</v>
      </c>
    </row>
    <row r="6" spans="1:4" x14ac:dyDescent="0.2">
      <c r="B6" t="s">
        <v>62</v>
      </c>
      <c r="C6" s="179">
        <f>IF('DOE25'!H665+'DOE25'!H670=0,0,ROUND('DOE25'!H672,0))</f>
        <v>17928</v>
      </c>
    </row>
    <row r="7" spans="1:4" x14ac:dyDescent="0.2">
      <c r="B7" t="s">
        <v>699</v>
      </c>
      <c r="C7" s="179">
        <f>IF('DOE25'!I665+'DOE25'!I670=0,0,ROUND('DOE25'!I672,0))</f>
        <v>16476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10663582</v>
      </c>
      <c r="D10" s="182">
        <f>ROUND((C10/$C$28)*100,1)</f>
        <v>32.1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8323690</v>
      </c>
      <c r="D11" s="182">
        <f>ROUND((C11/$C$28)*100,1)</f>
        <v>25.1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840544</v>
      </c>
      <c r="D12" s="182">
        <f>ROUND((C12/$C$28)*100,1)</f>
        <v>2.5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468538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2095560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1506438</v>
      </c>
      <c r="D16" s="182">
        <f t="shared" si="0"/>
        <v>4.5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1834535</v>
      </c>
      <c r="D17" s="182">
        <f t="shared" si="0"/>
        <v>5.5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2511726</v>
      </c>
      <c r="D18" s="182">
        <f t="shared" si="0"/>
        <v>7.6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24690</v>
      </c>
      <c r="D19" s="182">
        <f t="shared" si="0"/>
        <v>0.1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2553444</v>
      </c>
      <c r="D20" s="182">
        <f t="shared" si="0"/>
        <v>7.7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1277175</v>
      </c>
      <c r="D21" s="182">
        <f t="shared" si="0"/>
        <v>3.8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175203</v>
      </c>
      <c r="D24" s="182">
        <f t="shared" si="0"/>
        <v>0.5</v>
      </c>
    </row>
    <row r="25" spans="1:4" x14ac:dyDescent="0.2">
      <c r="A25">
        <v>5120</v>
      </c>
      <c r="B25" t="s">
        <v>714</v>
      </c>
      <c r="C25" s="179">
        <f>ROUND('DOE25'!L261+'DOE25'!L342,0)</f>
        <v>536885</v>
      </c>
      <c r="D25" s="182">
        <f t="shared" si="0"/>
        <v>1.6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378623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33190633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33190633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671187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15880636</v>
      </c>
      <c r="D35" s="182">
        <f t="shared" ref="D35:D40" si="1">ROUND((C35/$C$41)*100,1)</f>
        <v>46.6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980496</v>
      </c>
      <c r="D36" s="182">
        <f t="shared" si="1"/>
        <v>2.9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13883782</v>
      </c>
      <c r="D37" s="182">
        <f t="shared" si="1"/>
        <v>40.700000000000003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295900</v>
      </c>
      <c r="D38" s="182">
        <f t="shared" si="1"/>
        <v>0.9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3052660</v>
      </c>
      <c r="D39" s="182">
        <f t="shared" si="1"/>
        <v>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34093474</v>
      </c>
      <c r="D41" s="184">
        <f>SUM(D35:D40)</f>
        <v>100.10000000000001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764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761</v>
      </c>
      <c r="B2" s="298"/>
      <c r="C2" s="298"/>
      <c r="D2" s="298"/>
      <c r="E2" s="298"/>
      <c r="F2" s="295" t="str">
        <f>'DOE25'!A2</f>
        <v>Claremont School District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3" t="s">
        <v>765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/>
      <c r="B4" s="21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9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9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9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9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9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9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9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9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9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9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9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9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9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9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9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9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9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9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9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9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9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9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9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9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90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90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90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90"/>
      <c r="N32" s="223"/>
      <c r="O32" s="223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8"/>
      <c r="AB32" s="219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90"/>
      <c r="AN32" s="218"/>
      <c r="AO32" s="219"/>
      <c r="AP32" s="289"/>
      <c r="AQ32" s="289"/>
      <c r="AR32" s="289"/>
      <c r="AS32" s="289"/>
      <c r="AT32" s="289"/>
      <c r="AU32" s="289"/>
      <c r="AV32" s="289"/>
      <c r="AW32" s="289"/>
      <c r="AX32" s="289"/>
      <c r="AY32" s="289"/>
      <c r="AZ32" s="290"/>
      <c r="BA32" s="218"/>
      <c r="BB32" s="219"/>
      <c r="BC32" s="289"/>
      <c r="BD32" s="289"/>
      <c r="BE32" s="289"/>
      <c r="BF32" s="289"/>
      <c r="BG32" s="289"/>
      <c r="BH32" s="289"/>
      <c r="BI32" s="289"/>
      <c r="BJ32" s="289"/>
      <c r="BK32" s="289"/>
      <c r="BL32" s="289"/>
      <c r="BM32" s="290"/>
      <c r="BN32" s="218"/>
      <c r="BO32" s="219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90"/>
      <c r="CA32" s="218"/>
      <c r="CB32" s="219"/>
      <c r="CC32" s="289"/>
      <c r="CD32" s="289"/>
      <c r="CE32" s="289"/>
      <c r="CF32" s="289"/>
      <c r="CG32" s="289"/>
      <c r="CH32" s="289"/>
      <c r="CI32" s="289"/>
      <c r="CJ32" s="289"/>
      <c r="CK32" s="289"/>
      <c r="CL32" s="289"/>
      <c r="CM32" s="290"/>
      <c r="CN32" s="218"/>
      <c r="CO32" s="219"/>
      <c r="CP32" s="289"/>
      <c r="CQ32" s="289"/>
      <c r="CR32" s="289"/>
      <c r="CS32" s="289"/>
      <c r="CT32" s="289"/>
      <c r="CU32" s="289"/>
      <c r="CV32" s="289"/>
      <c r="CW32" s="289"/>
      <c r="CX32" s="289"/>
      <c r="CY32" s="289"/>
      <c r="CZ32" s="290"/>
      <c r="DA32" s="218"/>
      <c r="DB32" s="219"/>
      <c r="DC32" s="289"/>
      <c r="DD32" s="289"/>
      <c r="DE32" s="289"/>
      <c r="DF32" s="289"/>
      <c r="DG32" s="289"/>
      <c r="DH32" s="289"/>
      <c r="DI32" s="289"/>
      <c r="DJ32" s="289"/>
      <c r="DK32" s="289"/>
      <c r="DL32" s="289"/>
      <c r="DM32" s="290"/>
      <c r="DN32" s="218"/>
      <c r="DO32" s="219"/>
      <c r="DP32" s="289"/>
      <c r="DQ32" s="289"/>
      <c r="DR32" s="289"/>
      <c r="DS32" s="289"/>
      <c r="DT32" s="289"/>
      <c r="DU32" s="289"/>
      <c r="DV32" s="289"/>
      <c r="DW32" s="289"/>
      <c r="DX32" s="289"/>
      <c r="DY32" s="289"/>
      <c r="DZ32" s="290"/>
      <c r="EA32" s="218"/>
      <c r="EB32" s="219"/>
      <c r="EC32" s="289"/>
      <c r="ED32" s="289"/>
      <c r="EE32" s="289"/>
      <c r="EF32" s="289"/>
      <c r="EG32" s="289"/>
      <c r="EH32" s="289"/>
      <c r="EI32" s="289"/>
      <c r="EJ32" s="289"/>
      <c r="EK32" s="289"/>
      <c r="EL32" s="289"/>
      <c r="EM32" s="290"/>
      <c r="EN32" s="218"/>
      <c r="EO32" s="219"/>
      <c r="EP32" s="289"/>
      <c r="EQ32" s="289"/>
      <c r="ER32" s="289"/>
      <c r="ES32" s="289"/>
      <c r="ET32" s="289"/>
      <c r="EU32" s="289"/>
      <c r="EV32" s="289"/>
      <c r="EW32" s="289"/>
      <c r="EX32" s="289"/>
      <c r="EY32" s="289"/>
      <c r="EZ32" s="290"/>
      <c r="FA32" s="218"/>
      <c r="FB32" s="219"/>
      <c r="FC32" s="289"/>
      <c r="FD32" s="289"/>
      <c r="FE32" s="289"/>
      <c r="FF32" s="289"/>
      <c r="FG32" s="289"/>
      <c r="FH32" s="289"/>
      <c r="FI32" s="289"/>
      <c r="FJ32" s="289"/>
      <c r="FK32" s="289"/>
      <c r="FL32" s="289"/>
      <c r="FM32" s="290"/>
      <c r="FN32" s="218"/>
      <c r="FO32" s="219"/>
      <c r="FP32" s="289"/>
      <c r="FQ32" s="289"/>
      <c r="FR32" s="289"/>
      <c r="FS32" s="289"/>
      <c r="FT32" s="289"/>
      <c r="FU32" s="289"/>
      <c r="FV32" s="289"/>
      <c r="FW32" s="289"/>
      <c r="FX32" s="289"/>
      <c r="FY32" s="289"/>
      <c r="FZ32" s="290"/>
      <c r="GA32" s="218"/>
      <c r="GB32" s="219"/>
      <c r="GC32" s="289"/>
      <c r="GD32" s="289"/>
      <c r="GE32" s="289"/>
      <c r="GF32" s="289"/>
      <c r="GG32" s="289"/>
      <c r="GH32" s="289"/>
      <c r="GI32" s="289"/>
      <c r="GJ32" s="289"/>
      <c r="GK32" s="289"/>
      <c r="GL32" s="289"/>
      <c r="GM32" s="290"/>
      <c r="GN32" s="218"/>
      <c r="GO32" s="219"/>
      <c r="GP32" s="289"/>
      <c r="GQ32" s="289"/>
      <c r="GR32" s="289"/>
      <c r="GS32" s="289"/>
      <c r="GT32" s="289"/>
      <c r="GU32" s="289"/>
      <c r="GV32" s="289"/>
      <c r="GW32" s="289"/>
      <c r="GX32" s="289"/>
      <c r="GY32" s="289"/>
      <c r="GZ32" s="290"/>
      <c r="HA32" s="218"/>
      <c r="HB32" s="219"/>
      <c r="HC32" s="289"/>
      <c r="HD32" s="289"/>
      <c r="HE32" s="289"/>
      <c r="HF32" s="289"/>
      <c r="HG32" s="289"/>
      <c r="HH32" s="289"/>
      <c r="HI32" s="289"/>
      <c r="HJ32" s="289"/>
      <c r="HK32" s="289"/>
      <c r="HL32" s="289"/>
      <c r="HM32" s="290"/>
      <c r="HN32" s="218"/>
      <c r="HO32" s="219"/>
      <c r="HP32" s="289"/>
      <c r="HQ32" s="289"/>
      <c r="HR32" s="289"/>
      <c r="HS32" s="289"/>
      <c r="HT32" s="289"/>
      <c r="HU32" s="289"/>
      <c r="HV32" s="289"/>
      <c r="HW32" s="289"/>
      <c r="HX32" s="289"/>
      <c r="HY32" s="289"/>
      <c r="HZ32" s="290"/>
      <c r="IA32" s="218"/>
      <c r="IB32" s="219"/>
      <c r="IC32" s="289"/>
      <c r="ID32" s="289"/>
      <c r="IE32" s="289"/>
      <c r="IF32" s="289"/>
      <c r="IG32" s="289"/>
      <c r="IH32" s="289"/>
      <c r="II32" s="289"/>
      <c r="IJ32" s="289"/>
      <c r="IK32" s="289"/>
      <c r="IL32" s="289"/>
      <c r="IM32" s="290"/>
      <c r="IN32" s="218"/>
      <c r="IO32" s="219"/>
      <c r="IP32" s="289"/>
      <c r="IQ32" s="289"/>
      <c r="IR32" s="289"/>
      <c r="IS32" s="289"/>
      <c r="IT32" s="289"/>
      <c r="IU32" s="289"/>
      <c r="IV32" s="289"/>
    </row>
    <row r="33" spans="1:256" x14ac:dyDescent="0.2">
      <c r="A33" s="218"/>
      <c r="B33" s="21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9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9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9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9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9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90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90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90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9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9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9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9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9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9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9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9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9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9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9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9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9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9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9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9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9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9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90"/>
    </row>
    <row r="60" spans="1:256" x14ac:dyDescent="0.2">
      <c r="A60" s="218"/>
      <c r="B60" s="21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90"/>
    </row>
    <row r="61" spans="1:256" x14ac:dyDescent="0.2">
      <c r="A61" s="218"/>
      <c r="B61" s="219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90"/>
    </row>
    <row r="62" spans="1:256" x14ac:dyDescent="0.2">
      <c r="A62" s="218"/>
      <c r="B62" s="219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90"/>
    </row>
    <row r="63" spans="1:256" x14ac:dyDescent="0.2">
      <c r="A63" s="218"/>
      <c r="B63" s="21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90"/>
    </row>
    <row r="64" spans="1:256" x14ac:dyDescent="0.2">
      <c r="A64" s="218"/>
      <c r="B64" s="21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90"/>
    </row>
    <row r="65" spans="1:13" x14ac:dyDescent="0.2">
      <c r="A65" s="218"/>
      <c r="B65" s="21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90"/>
    </row>
    <row r="66" spans="1:13" x14ac:dyDescent="0.2">
      <c r="A66" s="218"/>
      <c r="B66" s="219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90"/>
    </row>
    <row r="67" spans="1:13" x14ac:dyDescent="0.2">
      <c r="A67" s="218"/>
      <c r="B67" s="21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90"/>
    </row>
    <row r="68" spans="1:13" x14ac:dyDescent="0.2">
      <c r="A68" s="218"/>
      <c r="B68" s="21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90"/>
    </row>
    <row r="69" spans="1:13" x14ac:dyDescent="0.2">
      <c r="A69" s="218"/>
      <c r="B69" s="21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90"/>
    </row>
    <row r="70" spans="1:13" ht="12" thickBot="1" x14ac:dyDescent="0.25">
      <c r="A70" s="220"/>
      <c r="B70" s="221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3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4" t="s">
        <v>842</v>
      </c>
      <c r="B72" s="304"/>
      <c r="C72" s="304"/>
      <c r="D72" s="304"/>
      <c r="E72" s="30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</row>
    <row r="74" spans="1:13" x14ac:dyDescent="0.2">
      <c r="A74" s="211"/>
      <c r="B74" s="211"/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</row>
    <row r="75" spans="1:13" x14ac:dyDescent="0.2">
      <c r="A75" s="211"/>
      <c r="B75" s="21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</row>
    <row r="76" spans="1:13" x14ac:dyDescent="0.2">
      <c r="A76" s="211"/>
      <c r="B76" s="21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</row>
    <row r="77" spans="1:13" x14ac:dyDescent="0.2">
      <c r="A77" s="211"/>
      <c r="B77" s="21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</row>
    <row r="78" spans="1:13" x14ac:dyDescent="0.2">
      <c r="A78" s="211"/>
      <c r="B78" s="21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</row>
    <row r="79" spans="1:13" x14ac:dyDescent="0.2">
      <c r="A79" s="211"/>
      <c r="B79" s="211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</row>
    <row r="80" spans="1:13" x14ac:dyDescent="0.2">
      <c r="A80" s="211"/>
      <c r="B80" s="211"/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</row>
    <row r="81" spans="1:13" x14ac:dyDescent="0.2">
      <c r="A81" s="211"/>
      <c r="B81" s="21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</row>
    <row r="82" spans="1:13" x14ac:dyDescent="0.2">
      <c r="A82" s="211"/>
      <c r="B82" s="21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</row>
    <row r="83" spans="1:13" x14ac:dyDescent="0.2">
      <c r="A83" s="211"/>
      <c r="B83" s="21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</row>
    <row r="84" spans="1:13" x14ac:dyDescent="0.2">
      <c r="A84" s="211"/>
      <c r="B84" s="21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</row>
    <row r="85" spans="1:13" x14ac:dyDescent="0.2">
      <c r="A85" s="211"/>
      <c r="B85" s="211"/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</row>
    <row r="86" spans="1:13" x14ac:dyDescent="0.2">
      <c r="A86" s="211"/>
      <c r="B86" s="211"/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</row>
    <row r="87" spans="1:13" x14ac:dyDescent="0.2">
      <c r="A87" s="211"/>
      <c r="B87" s="21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</row>
    <row r="88" spans="1:13" x14ac:dyDescent="0.2">
      <c r="A88" s="211"/>
      <c r="B88" s="21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</row>
    <row r="89" spans="1:13" x14ac:dyDescent="0.2">
      <c r="A89" s="211"/>
      <c r="B89" s="21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</row>
    <row r="90" spans="1:13" x14ac:dyDescent="0.2">
      <c r="A90" s="211"/>
      <c r="B90" s="21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8" sqref="K28"/>
    </sheetView>
  </sheetViews>
  <sheetFormatPr defaultRowHeight="11.25" x14ac:dyDescent="0.2"/>
  <cols>
    <col min="11" max="11" width="13" bestFit="1" customWidth="1"/>
  </cols>
  <sheetData>
    <row r="1" spans="1:1" x14ac:dyDescent="0.2">
      <c r="A1" s="275">
        <f>443527/34258258</f>
        <v>1.2946571889323737E-2</v>
      </c>
    </row>
    <row r="17" spans="11:11" x14ac:dyDescent="0.2">
      <c r="K17" s="276">
        <v>1383547</v>
      </c>
    </row>
    <row r="19" spans="11:11" x14ac:dyDescent="0.2">
      <c r="K19">
        <v>2061063</v>
      </c>
    </row>
    <row r="21" spans="11:11" x14ac:dyDescent="0.2">
      <c r="K21" s="277">
        <f>+K19-K17</f>
        <v>677516</v>
      </c>
    </row>
    <row r="25" spans="11:11" x14ac:dyDescent="0.2">
      <c r="K25">
        <v>163493</v>
      </c>
    </row>
    <row r="26" spans="11:11" x14ac:dyDescent="0.2">
      <c r="K26">
        <v>735247</v>
      </c>
    </row>
    <row r="27" spans="11:11" x14ac:dyDescent="0.2">
      <c r="K27">
        <f>+K26-K25</f>
        <v>571754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2018-11-16T14:17:06Z</cp:lastPrinted>
  <dcterms:created xsi:type="dcterms:W3CDTF">1997-12-04T19:04:30Z</dcterms:created>
  <dcterms:modified xsi:type="dcterms:W3CDTF">2018-12-03T18:35:26Z</dcterms:modified>
</cp:coreProperties>
</file>