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91" i="1" l="1"/>
  <c r="B39" i="12"/>
  <c r="B21" i="12"/>
  <c r="B19" i="12"/>
  <c r="B20" i="12"/>
  <c r="B10" i="12"/>
  <c r="H208" i="1"/>
  <c r="H528" i="1"/>
  <c r="H526" i="1"/>
  <c r="H531" i="1"/>
  <c r="H541" i="1"/>
  <c r="H358" i="1"/>
  <c r="H320" i="1"/>
  <c r="H282" i="1"/>
  <c r="H472" i="1"/>
  <c r="H468" i="1"/>
  <c r="F468" i="1"/>
  <c r="F50" i="1"/>
  <c r="H110" i="1"/>
  <c r="H22" i="1"/>
  <c r="H30" i="1"/>
  <c r="G244" i="1"/>
  <c r="F244" i="1"/>
  <c r="H244" i="1"/>
  <c r="H243" i="1"/>
  <c r="H241" i="1"/>
  <c r="H240" i="1"/>
  <c r="K239" i="1"/>
  <c r="H239" i="1"/>
  <c r="H238" i="1"/>
  <c r="H236" i="1"/>
  <c r="H233" i="1"/>
  <c r="H207" i="1"/>
  <c r="H205" i="1"/>
  <c r="H204" i="1"/>
  <c r="K203" i="1"/>
  <c r="H203" i="1"/>
  <c r="H202" i="1"/>
  <c r="H197" i="1"/>
  <c r="F12" i="1"/>
  <c r="F465" i="1"/>
  <c r="G459" i="1"/>
  <c r="G439" i="1"/>
  <c r="H154" i="1"/>
  <c r="H155" i="1"/>
  <c r="F109" i="1"/>
  <c r="H24" i="1"/>
  <c r="G48" i="1"/>
  <c r="G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D7" i="13" s="1"/>
  <c r="C7" i="13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8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19" i="2"/>
  <c r="E120" i="2"/>
  <c r="C121" i="2"/>
  <c r="E121" i="2"/>
  <c r="C122" i="2"/>
  <c r="E122" i="2"/>
  <c r="C123" i="2"/>
  <c r="E123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H641" i="1"/>
  <c r="G642" i="1"/>
  <c r="G643" i="1"/>
  <c r="G644" i="1"/>
  <c r="H644" i="1"/>
  <c r="G649" i="1"/>
  <c r="G650" i="1"/>
  <c r="G652" i="1"/>
  <c r="H652" i="1"/>
  <c r="G653" i="1"/>
  <c r="H653" i="1"/>
  <c r="G654" i="1"/>
  <c r="H654" i="1"/>
  <c r="H655" i="1"/>
  <c r="J655" i="1" s="1"/>
  <c r="F192" i="1"/>
  <c r="L256" i="1"/>
  <c r="G164" i="2"/>
  <c r="C18" i="2"/>
  <c r="C26" i="10"/>
  <c r="L328" i="1"/>
  <c r="L351" i="1"/>
  <c r="A31" i="12"/>
  <c r="A40" i="12"/>
  <c r="D12" i="13"/>
  <c r="C12" i="13" s="1"/>
  <c r="D62" i="2"/>
  <c r="D63" i="2" s="1"/>
  <c r="D18" i="13"/>
  <c r="C18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G552" i="1"/>
  <c r="J644" i="1"/>
  <c r="I476" i="1"/>
  <c r="H625" i="1" s="1"/>
  <c r="J625" i="1" s="1"/>
  <c r="F169" i="1"/>
  <c r="J140" i="1"/>
  <c r="F571" i="1"/>
  <c r="I552" i="1"/>
  <c r="K550" i="1"/>
  <c r="G22" i="2"/>
  <c r="K545" i="1"/>
  <c r="H552" i="1"/>
  <c r="C29" i="10"/>
  <c r="H140" i="1"/>
  <c r="L401" i="1"/>
  <c r="C139" i="2" s="1"/>
  <c r="L393" i="1"/>
  <c r="C138" i="2" s="1"/>
  <c r="A13" i="12"/>
  <c r="F22" i="13"/>
  <c r="H25" i="13"/>
  <c r="C25" i="13" s="1"/>
  <c r="H571" i="1"/>
  <c r="L560" i="1"/>
  <c r="G192" i="1"/>
  <c r="H192" i="1"/>
  <c r="C35" i="10"/>
  <c r="L309" i="1"/>
  <c r="E16" i="13"/>
  <c r="L570" i="1"/>
  <c r="I571" i="1"/>
  <c r="J636" i="1"/>
  <c r="G36" i="2"/>
  <c r="L565" i="1"/>
  <c r="K551" i="1"/>
  <c r="C22" i="13"/>
  <c r="C16" i="13"/>
  <c r="H33" i="13"/>
  <c r="F662" i="1" l="1"/>
  <c r="K598" i="1"/>
  <c r="G647" i="1" s="1"/>
  <c r="J649" i="1"/>
  <c r="J552" i="1"/>
  <c r="H545" i="1"/>
  <c r="G545" i="1"/>
  <c r="K549" i="1"/>
  <c r="K552" i="1" s="1"/>
  <c r="L524" i="1"/>
  <c r="L545" i="1" s="1"/>
  <c r="H661" i="1"/>
  <c r="I661" i="1" s="1"/>
  <c r="L362" i="1"/>
  <c r="G635" i="1" s="1"/>
  <c r="J635" i="1" s="1"/>
  <c r="D127" i="2"/>
  <c r="D128" i="2" s="1"/>
  <c r="D145" i="2" s="1"/>
  <c r="E124" i="2"/>
  <c r="E128" i="2" s="1"/>
  <c r="H338" i="1"/>
  <c r="H352" i="1" s="1"/>
  <c r="G338" i="1"/>
  <c r="G352" i="1" s="1"/>
  <c r="F338" i="1"/>
  <c r="F352" i="1" s="1"/>
  <c r="E109" i="2"/>
  <c r="C15" i="10"/>
  <c r="L290" i="1"/>
  <c r="L338" i="1" s="1"/>
  <c r="L352" i="1" s="1"/>
  <c r="G633" i="1" s="1"/>
  <c r="J633" i="1" s="1"/>
  <c r="E115" i="2"/>
  <c r="C20" i="10"/>
  <c r="C17" i="10"/>
  <c r="C16" i="10"/>
  <c r="C118" i="2"/>
  <c r="K257" i="1"/>
  <c r="K271" i="1" s="1"/>
  <c r="C13" i="10"/>
  <c r="C111" i="2"/>
  <c r="C110" i="2"/>
  <c r="J257" i="1"/>
  <c r="J271" i="1" s="1"/>
  <c r="I257" i="1"/>
  <c r="I271" i="1" s="1"/>
  <c r="G257" i="1"/>
  <c r="G271" i="1" s="1"/>
  <c r="F257" i="1"/>
  <c r="F271" i="1" s="1"/>
  <c r="D14" i="13"/>
  <c r="C14" i="13" s="1"/>
  <c r="E8" i="13"/>
  <c r="C8" i="13" s="1"/>
  <c r="C120" i="2"/>
  <c r="C119" i="2"/>
  <c r="D5" i="13"/>
  <c r="C5" i="13" s="1"/>
  <c r="C11" i="10"/>
  <c r="L211" i="1"/>
  <c r="C109" i="2"/>
  <c r="C115" i="2" s="1"/>
  <c r="C10" i="10"/>
  <c r="I460" i="1"/>
  <c r="I461" i="1" s="1"/>
  <c r="H642" i="1" s="1"/>
  <c r="J642" i="1" s="1"/>
  <c r="J640" i="1"/>
  <c r="F408" i="1"/>
  <c r="H643" i="1" s="1"/>
  <c r="J643" i="1" s="1"/>
  <c r="G645" i="1"/>
  <c r="J645" i="1" s="1"/>
  <c r="F476" i="1"/>
  <c r="H622" i="1" s="1"/>
  <c r="J622" i="1" s="1"/>
  <c r="G476" i="1"/>
  <c r="H623" i="1" s="1"/>
  <c r="J623" i="1" s="1"/>
  <c r="H476" i="1"/>
  <c r="H624" i="1" s="1"/>
  <c r="J624" i="1" s="1"/>
  <c r="C81" i="2"/>
  <c r="F112" i="1"/>
  <c r="C36" i="10" s="1"/>
  <c r="C57" i="2"/>
  <c r="C62" i="2" s="1"/>
  <c r="C63" i="2" s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 l="1"/>
  <c r="G672" i="1"/>
  <c r="C5" i="10" s="1"/>
  <c r="E145" i="2"/>
  <c r="F660" i="1"/>
  <c r="F664" i="1" s="1"/>
  <c r="F672" i="1" s="1"/>
  <c r="C4" i="10" s="1"/>
  <c r="D31" i="13"/>
  <c r="C31" i="13" s="1"/>
  <c r="F33" i="13"/>
  <c r="H648" i="1"/>
  <c r="J648" i="1" s="1"/>
  <c r="E33" i="13"/>
  <c r="D35" i="13" s="1"/>
  <c r="H646" i="1"/>
  <c r="G104" i="2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F667" i="1" l="1"/>
  <c r="C41" i="10"/>
  <c r="D38" i="10" s="1"/>
  <c r="D37" i="10" l="1"/>
  <c r="D36" i="10"/>
  <c r="D35" i="10"/>
  <c r="D40" i="10"/>
  <c r="D39" i="10"/>
  <c r="D41" i="10" l="1"/>
  <c r="H247" i="1"/>
  <c r="H257" i="1" s="1"/>
  <c r="H271" i="1" s="1"/>
  <c r="L244" i="1"/>
  <c r="H647" i="1" s="1"/>
  <c r="J647" i="1" s="1"/>
  <c r="L247" i="1" l="1"/>
  <c r="L257" i="1" s="1"/>
  <c r="L271" i="1" s="1"/>
  <c r="G632" i="1" s="1"/>
  <c r="J632" i="1" s="1"/>
  <c r="D15" i="13"/>
  <c r="H662" i="1"/>
  <c r="I662" i="1" s="1"/>
  <c r="C124" i="2"/>
  <c r="C128" i="2" s="1"/>
  <c r="C145" i="2" s="1"/>
  <c r="C21" i="10"/>
  <c r="G651" i="1"/>
  <c r="J651" i="1" s="1"/>
  <c r="H660" i="1" l="1"/>
  <c r="H664" i="1" s="1"/>
  <c r="H656" i="1"/>
  <c r="C28" i="10"/>
  <c r="D33" i="13"/>
  <c r="D36" i="13" s="1"/>
  <c r="C15" i="13"/>
  <c r="I660" i="1" l="1"/>
  <c r="I664" i="1" s="1"/>
  <c r="I672" i="1" s="1"/>
  <c r="C7" i="10" s="1"/>
  <c r="D24" i="10"/>
  <c r="D13" i="10"/>
  <c r="D25" i="10"/>
  <c r="D11" i="10"/>
  <c r="D18" i="10"/>
  <c r="D27" i="10"/>
  <c r="D17" i="10"/>
  <c r="C30" i="10"/>
  <c r="D15" i="10"/>
  <c r="D16" i="10"/>
  <c r="D22" i="10"/>
  <c r="D20" i="10"/>
  <c r="D12" i="10"/>
  <c r="D10" i="10"/>
  <c r="D19" i="10"/>
  <c r="D26" i="10"/>
  <c r="D23" i="10"/>
  <c r="H672" i="1"/>
  <c r="C6" i="10" s="1"/>
  <c r="H667" i="1"/>
  <c r="D21" i="10"/>
  <c r="I667" i="1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<sst xmlns="http://schemas.openxmlformats.org/spreadsheetml/2006/main" count="3957" uniqueCount="913">
  <si>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</si>
  <si>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</si>
  <si>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</si>
  <si>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</si>
  <si>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</si>
  <si>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</si>
  <si>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</si>
  <si>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</si>
  <si>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</si>
  <si>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</si>
  <si>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</si>
  <si>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</si>
  <si>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</si>
  <si>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</si>
  <si>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</si>
  <si>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</si>
  <si>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</si>
  <si>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</si>
  <si>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</si>
  <si>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</si>
  <si>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</si>
  <si>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</si>
  <si>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</si>
  <si>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</si>
  <si>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</si>
  <si>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</si>
  <si>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</si>
  <si>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</si>
  <si>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</si>
  <si>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</si>
  <si>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</si>
  <si>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</si>
  <si>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</si>
  <si>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</si>
  <si>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</si>
  <si>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</si>
  <si>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</si>
  <si>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</si>
  <si>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</si>
  <si>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</si>
  <si>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</si>
  <si>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</si>
  <si>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</si>
  <si>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</si>
  <si>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</si>
  <si>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</si>
  <si>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</si>
  <si>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</si>
  <si>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</si>
  <si>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</si>
  <si>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</si>
  <si>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</si>
  <si>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</si>
  <si>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</si>
  <si>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</si>
  <si>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</si>
  <si>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</si>
  <si>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</si>
  <si>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</si>
  <si>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</si>
  <si>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</si>
  <si>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</si>
  <si>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</si>
  <si>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</si>
  <si>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</si>
  <si>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</si>
  <si>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</si>
  <si>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</si>
  <si>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</si>
  <si>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</si>
  <si>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</si>
  <si>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</si>
  <si>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</si>
  <si>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</si>
  <si>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</si>
  <si>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</si>
  <si>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</si>
  <si>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</si>
  <si>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</si>
  <si>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</si>
  <si>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</si>
  <si>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</si>
  <si>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</si>
  <si>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</si>
  <si>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</si>
  <si>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</si>
  <si>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</si>
  <si>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</si>
  <si>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</si>
  <si>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</si>
  <si>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</si>
  <si>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</si>
  <si>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</si>
  <si>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</si>
  <si>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</si>
  <si>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</si>
  <si>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</si>
  <si>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</si>
  <si>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</si>
  <si>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</si>
  <si>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</si>
  <si>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</si>
  <si>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</si>
  <si>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</si>
  <si>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</si>
  <si>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</si>
  <si>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</si>
  <si>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</si>
  <si>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</si>
  <si>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</si>
  <si>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</si>
  <si>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</si>
  <si>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</si>
  <si>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</si>
  <si>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</si>
  <si>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</si>
  <si>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</si>
  <si>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</si>
  <si>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</si>
  <si>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</si>
  <si>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</si>
  <si>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</si>
  <si>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</si>
  <si>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</si>
  <si>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</si>
  <si>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</si>
  <si>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</si>
  <si>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</si>
  <si>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</si>
  <si>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</si>
  <si>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</si>
  <si>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</si>
  <si>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</si>
  <si>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</si>
  <si>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</si>
  <si>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</si>
  <si>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</si>
  <si>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</si>
  <si>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</si>
  <si>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</si>
  <si>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</si>
  <si>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</si>
  <si>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</si>
  <si>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</si>
  <si>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</si>
  <si>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</si>
  <si>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</si>
  <si>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</si>
  <si>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</si>
  <si>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</si>
  <si>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</si>
  <si>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</si>
  <si>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</si>
  <si>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</si>
  <si>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</si>
  <si>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</si>
  <si>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</si>
  <si>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</si>
  <si>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</si>
  <si>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</si>
  <si>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</si>
  <si>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</si>
  <si>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</si>
  <si>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</si>
  <si>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</si>
  <si>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</si>
  <si>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</si>
  <si>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</si>
  <si>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</si>
  <si>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</si>
  <si>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</si>
  <si>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</si>
  <si>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</si>
  <si>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</si>
  <si>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</si>
  <si>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</si>
  <si>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</si>
  <si>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</si>
  <si>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</si>
  <si>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</si>
  <si>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</si>
  <si>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</si>
  <si>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</si>
  <si>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</si>
  <si>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</si>
  <si>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</si>
  <si>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</si>
  <si>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</si>
  <si>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</si>
  <si>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</si>
  <si>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</si>
  <si>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</si>
  <si>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</si>
  <si>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</si>
  <si>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</si>
  <si>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</si>
  <si>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</si>
  <si>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</si>
  <si>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</si>
  <si>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</si>
  <si>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</si>
  <si>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</si>
  <si>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</si>
  <si>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</si>
  <si>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</si>
  <si>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</si>
  <si>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</si>
  <si>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</si>
  <si>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</si>
  <si>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</si>
  <si>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</si>
  <si>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</si>
  <si>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</si>
  <si>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</si>
  <si>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</si>
  <si>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</si>
  <si>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</si>
  <si>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</si>
  <si>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</si>
  <si>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</si>
  <si>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</si>
  <si>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</si>
  <si>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</si>
  <si>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</si>
  <si>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</si>
  <si>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</si>
  <si>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</si>
  <si>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</si>
  <si>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</si>
  <si>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</si>
  <si>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</si>
  <si>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</si>
  <si>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</si>
  <si>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</si>
  <si>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</si>
  <si>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</si>
  <si>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</si>
  <si>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</si>
  <si>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</si>
  <si>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</si>
  <si>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</si>
  <si>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</si>
  <si>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</si>
  <si>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</si>
  <si>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</si>
  <si>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</si>
  <si>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</si>
  <si>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</si>
  <si>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</si>
  <si>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</si>
  <si>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</si>
  <si>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</si>
  <si>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</si>
  <si>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</si>
  <si>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</si>
  <si>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</si>
  <si>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</si>
  <si>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</si>
  <si>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</si>
  <si>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</si>
  <si>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</si>
  <si>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</si>
  <si>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</si>
  <si>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</si>
  <si>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</si>
  <si>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</si>
  <si>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</si>
  <si>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</si>
  <si>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</si>
  <si>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</si>
  <si>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</si>
  <si>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</si>
  <si>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</si>
  <si>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</si>
  <si>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</si>
  <si>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</si>
  <si>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</si>
  <si>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</si>
  <si>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</si>
  <si>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</si>
  <si>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</si>
  <si>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</si>
  <si>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</si>
  <si>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</si>
  <si>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</si>
  <si>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</si>
  <si>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</si>
  <si>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</si>
  <si>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</si>
  <si>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</si>
  <si>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</si>
  <si>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</si>
  <si>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</si>
  <si>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</si>
  <si>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</si>
  <si>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</si>
  <si>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</si>
  <si>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</si>
  <si>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</si>
  <si>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</si>
  <si>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</si>
  <si>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</si>
  <si>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</si>
  <si>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</si>
  <si>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</si>
  <si>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</si>
  <si>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</si>
  <si>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</si>
  <si>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</si>
  <si>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</si>
  <si>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</si>
  <si>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</si>
  <si>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</si>
  <si>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</si>
  <si>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</si>
  <si>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</si>
  <si>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</si>
  <si>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</si>
  <si>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</si>
  <si>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</si>
  <si>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</si>
  <si>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</si>
  <si>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</si>
  <si>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</si>
  <si>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</si>
  <si>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</si>
  <si>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</si>
  <si>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</si>
  <si>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</si>
  <si>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</si>
  <si>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</si>
  <si>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</si>
  <si>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</si>
  <si>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</si>
  <si>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</si>
  <si>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</si>
  <si>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</si>
  <si>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</si>
  <si>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</si>
  <si>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</si>
  <si>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</si>
  <si>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</si>
  <si>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</si>
  <si>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</si>
  <si>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</si>
  <si>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</si>
  <si>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</si>
  <si>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</si>
  <si>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</si>
  <si>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</si>
  <si>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</si>
  <si>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</si>
  <si>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</si>
  <si>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</si>
  <si>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</si>
  <si>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</si>
  <si>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</si>
  <si>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</si>
  <si>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</si>
  <si>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</si>
  <si>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</si>
  <si>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</si>
  <si>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</si>
  <si>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</si>
  <si>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</si>
  <si>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</si>
  <si>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</si>
  <si>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</si>
  <si>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</si>
  <si>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</si>
  <si>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</si>
  <si>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</si>
  <si>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</si>
  <si>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</si>
  <si>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</si>
  <si>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</si>
  <si>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</si>
  <si>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</si>
  <si>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</si>
  <si>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</si>
  <si>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</si>
  <si>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</si>
  <si>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</si>
  <si>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</si>
  <si>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</si>
  <si>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</si>
  <si>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</si>
  <si>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</si>
  <si>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</si>
  <si>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</si>
  <si>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</si>
  <si>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</si>
  <si>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</si>
  <si>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</si>
  <si>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</si>
  <si>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</si>
  <si>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</si>
  <si>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</si>
  <si>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</si>
  <si>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</si>
  <si>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</si>
  <si>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</si>
  <si>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</si>
  <si>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</si>
  <si>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</si>
  <si>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</si>
  <si>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</si>
  <si>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</si>
  <si>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</si>
  <si>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</si>
  <si>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</si>
  <si>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</si>
  <si>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</si>
  <si>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</si>
  <si>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</si>
  <si>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</si>
  <si>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</si>
  <si>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</si>
  <si>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</si>
  <si>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</si>
  <si>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</si>
  <si>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</si>
  <si>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</si>
  <si>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</si>
  <si>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</si>
  <si>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</si>
  <si>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</si>
  <si>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</si>
  <si>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</si>
  <si>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</si>
  <si>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</si>
  <si>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</si>
  <si>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</si>
  <si>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</si>
  <si>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</si>
  <si>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</si>
  <si>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</si>
  <si>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</si>
  <si>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</si>
  <si>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</si>
  <si>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</si>
  <si>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</si>
  <si>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</si>
  <si>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</si>
  <si>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</si>
  <si>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</si>
  <si>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</si>
  <si>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</si>
  <si>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</si>
  <si>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</si>
  <si>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</si>
  <si>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</si>
  <si>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</si>
  <si>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</si>
  <si>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</si>
  <si>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</si>
  <si>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</si>
  <si>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</si>
  <si>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</si>
  <si>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</si>
  <si>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</si>
  <si>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</si>
  <si>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</si>
  <si>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</si>
  <si>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</si>
  <si>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</si>
  <si>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</si>
  <si>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</si>
  <si>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</si>
  <si>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</si>
  <si>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</si>
  <si>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</si>
  <si>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</si>
  <si>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</si>
  <si>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</si>
  <si>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</si>
  <si>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</si>
  <si>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</si>
  <si>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</si>
  <si>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</si>
  <si>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</si>
  <si>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</si>
  <si>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</si>
  <si>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</si>
  <si>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</si>
  <si>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</si>
  <si>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</si>
  <si>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</si>
  <si>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</si>
  <si>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</si>
  <si>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</si>
  <si>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</si>
  <si>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</si>
  <si>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</si>
  <si>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</si>
  <si>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</si>
  <si>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</si>
  <si>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</si>
  <si>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</si>
  <si>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</si>
  <si>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</si>
  <si>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</si>
  <si>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</si>
  <si>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</si>
  <si>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</si>
  <si>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</si>
  <si>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</si>
  <si>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</si>
  <si>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</si>
  <si>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</si>
  <si>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</si>
  <si>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</si>
  <si>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</si>
  <si>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</si>
  <si>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</si>
  <si>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</si>
  <si>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</si>
  <si>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</si>
  <si>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</si>
  <si>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</si>
  <si>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</si>
  <si>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</si>
  <si>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</si>
  <si>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</si>
  <si>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</si>
  <si>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</si>
  <si>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</si>
  <si>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</si>
  <si>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</si>
  <si>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</si>
  <si>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</si>
  <si>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</si>
  <si>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</si>
  <si>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</si>
  <si>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</si>
  <si>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</si>
  <si>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</si>
  <si>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</si>
  <si>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</si>
  <si>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</si>
  <si>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</si>
  <si>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</si>
  <si>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</si>
  <si>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</si>
  <si>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</si>
  <si>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</si>
  <si>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</si>
  <si>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</si>
  <si>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</si>
  <si>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</si>
  <si>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</si>
  <si>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</si>
  <si>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</si>
  <si>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</si>
  <si>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</si>
  <si>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</si>
  <si>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</si>
  <si>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</si>
  <si>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</si>
  <si>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</si>
  <si>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</si>
  <si>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</si>
  <si>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</si>
  <si>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</si>
  <si>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</si>
  <si>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</si>
  <si>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</si>
  <si>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</si>
  <si>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</si>
  <si>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</si>
  <si>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</si>
  <si>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</si>
  <si>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</si>
  <si>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</si>
  <si>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</si>
  <si>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</si>
  <si>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</si>
  <si>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</si>
  <si>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</si>
  <si>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</si>
  <si>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</si>
  <si>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</si>
  <si>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</si>
  <si>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</si>
  <si>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</si>
  <si>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</si>
  <si>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</si>
  <si>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</si>
  <si>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</si>
  <si>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</si>
  <si>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</si>
  <si>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</si>
  <si>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</si>
  <si>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</si>
  <si>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</si>
  <si>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</si>
  <si>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</si>
  <si>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</si>
  <si>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</si>
  <si>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</si>
  <si>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</si>
  <si>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</si>
  <si>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</si>
  <si>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</si>
  <si>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</si>
  <si>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</si>
  <si>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</si>
  <si>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</si>
  <si>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</si>
  <si>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</si>
  <si>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</si>
  <si>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</si>
  <si>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</si>
  <si>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</si>
  <si>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</si>
  <si>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</si>
  <si>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</si>
  <si>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</si>
  <si>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</si>
  <si>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</si>
  <si>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</si>
  <si>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</si>
  <si>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</si>
  <si>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</si>
  <si>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</si>
  <si>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</si>
  <si>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</si>
  <si>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</si>
  <si>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</si>
  <si>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</si>
  <si>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</si>
  <si>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</si>
  <si>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</si>
  <si>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</si>
  <si>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</si>
  <si>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</si>
  <si>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</si>
  <si>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</si>
  <si>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</si>
  <si>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</si>
  <si>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</si>
  <si>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</si>
  <si>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</si>
  <si>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</si>
  <si>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</si>
  <si>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</si>
  <si>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</si>
  <si>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</si>
  <si>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</si>
  <si>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</si>
  <si>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</si>
  <si>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</si>
  <si>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</si>
  <si>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</si>
  <si>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</si>
  <si>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</si>
  <si>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</si>
  <si>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</si>
  <si>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</si>
  <si>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</si>
  <si>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</si>
  <si>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</si>
  <si>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</si>
  <si>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</si>
  <si>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</si>
  <si>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</si>
  <si>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</si>
  <si>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</si>
  <si>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</si>
  <si>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</si>
  <si>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</si>
  <si>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</si>
  <si>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</si>
  <si>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</si>
  <si>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</si>
  <si>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</si>
  <si>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</si>
  <si>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</si>
  <si>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</si>
  <si>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</si>
  <si>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</si>
  <si>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</si>
  <si>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</si>
  <si>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</si>
  <si>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</si>
  <si>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</si>
  <si>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</si>
  <si>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</si>
  <si>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</si>
  <si>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</si>
  <si>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</si>
  <si>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</si>
  <si>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</si>
  <si>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</si>
  <si>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</si>
  <si>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</si>
  <si>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</si>
  <si>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</si>
  <si>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</si>
  <si>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</si>
  <si>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</si>
  <si>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</si>
  <si>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</si>
  <si>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</si>
  <si>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</si>
  <si>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</si>
  <si>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</si>
  <si>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</si>
  <si>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</si>
  <si>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</si>
  <si>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</si>
  <si>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</si>
  <si>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</si>
  <si>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</si>
  <si>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</si>
  <si>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</si>
  <si>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</si>
  <si>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</si>
  <si>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</si>
  <si>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</si>
  <si>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</si>
  <si>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</si>
  <si>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</si>
  <si>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</si>
  <si>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</si>
  <si>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</si>
  <si>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</si>
  <si>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</si>
  <si>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</si>
  <si>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</si>
  <si>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</si>
  <si>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</si>
  <si>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</si>
  <si>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</si>
  <si>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</si>
  <si>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</si>
  <si>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</si>
  <si>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</si>
  <si>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</si>
  <si>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</si>
  <si>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</si>
  <si>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</si>
  <si>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</si>
  <si>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</si>
  <si>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</si>
  <si>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</si>
  <si>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</si>
  <si>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</si>
  <si>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</si>
  <si>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</si>
  <si>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</si>
  <si>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</si>
  <si>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</si>
  <si>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</si>
  <si>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</si>
  <si>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</si>
  <si>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</si>
  <si>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</si>
  <si>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</si>
  <si>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</si>
  <si>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</si>
  <si>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</si>
  <si>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</si>
  <si>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</si>
  <si>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</si>
  <si>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</si>
  <si>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</si>
  <si>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</si>
  <si>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</si>
  <si>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</si>
  <si>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</si>
  <si>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</si>
  <si>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</si>
  <si>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</si>
  <si>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</si>
  <si>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</si>
  <si>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</si>
  <si>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</si>
  <si>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</si>
  <si>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</si>
  <si>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</si>
  <si>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</si>
  <si>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</si>
  <si>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</si>
  <si>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</si>
  <si>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</si>
  <si>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</si>
  <si>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</si>
  <si>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</si>
  <si>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</si>
  <si>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</si>
  <si>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</si>
  <si>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</si>
  <si>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</si>
  <si>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</si>
  <si>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</si>
  <si>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</si>
  <si>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</si>
  <si>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</si>
  <si>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</si>
  <si>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</si>
  <si>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</si>
  <si>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</si>
  <si>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</si>
  <si>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</si>
  <si>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</si>
  <si>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</si>
  <si>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</si>
  <si>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</si>
  <si>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</si>
  <si>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</si>
  <si>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</si>
  <si>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</si>
  <si>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</si>
  <si>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</si>
  <si>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</si>
  <si>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</si>
  <si>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</si>
  <si>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</si>
  <si>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</si>
  <si>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</si>
  <si>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</si>
  <si>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</si>
  <si>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</si>
  <si>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</si>
  <si>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</si>
  <si>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</si>
  <si>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</si>
  <si>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</si>
  <si>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</si>
  <si>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</si>
  <si>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</si>
  <si>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</si>
  <si>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</si>
  <si>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</si>
  <si>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</si>
  <si>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</si>
  <si>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</si>
  <si>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</si>
  <si>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</si>
  <si>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</si>
  <si>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</si>
  <si>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</si>
  <si>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</si>
  <si>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</si>
  <si>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</si>
  <si>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</si>
  <si>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</si>
  <si>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</si>
  <si>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</si>
  <si>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</si>
  <si>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</si>
  <si>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</si>
  <si>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</si>
  <si>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</si>
  <si>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</si>
  <si>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</si>
  <si>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</si>
  <si>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</si>
  <si>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</si>
  <si>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</si>
  <si>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</si>
  <si>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</si>
  <si>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</si>
  <si>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</si>
  <si>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</si>
  <si>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</si>
  <si>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</si>
  <si>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</si>
  <si>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</si>
  <si>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</si>
  <si>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</si>
  <si>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</si>
  <si>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</si>
  <si>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</si>
  <si>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</si>
  <si>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</si>
  <si>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</si>
  <si>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</si>
  <si>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</si>
  <si>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</si>
  <si>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</si>
  <si>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</si>
  <si>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</si>
  <si>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</si>
  <si>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</si>
  <si>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</si>
  <si>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</si>
  <si>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</si>
  <si>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</si>
  <si>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</si>
  <si>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</si>
  <si>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</si>
  <si>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</si>
  <si>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</si>
  <si>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</si>
  <si>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</si>
  <si>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</si>
  <si>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</si>
  <si>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</si>
  <si>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</si>
  <si>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</si>
  <si>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</si>
  <si>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</si>
  <si>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</si>
  <si>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</si>
  <si>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</si>
  <si>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</si>
  <si>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</si>
  <si>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</si>
  <si>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</si>
  <si>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</si>
  <si>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Colebrook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</si>
</sst>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105</v>
      </c>
      <c r="C2" s="21">
        <v>105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679191.1</v>
      </c>
      <c r="G9" s="18">
        <v>24191.75</v>
      </c>
      <c r="H9" s="18"/>
      <c r="I9" s="18"/>
      <c r="J9" s="67">
        <f>SUM(I439)</f>
        <v>624087.72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56470.13</f>
        <v>56470.13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44979.62</v>
      </c>
      <c r="G13" s="18">
        <v>4775.3999999999996</v>
      </c>
      <c r="H13" s="18">
        <v>61110.400000000001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160.38999999999999</v>
      </c>
      <c r="G14" s="18">
        <v>640.70000000000005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5170.3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780801.24</v>
      </c>
      <c r="G19" s="41">
        <f>SUM(G9:G18)</f>
        <v>34778.15</v>
      </c>
      <c r="H19" s="41">
        <f>SUM(H9:H18)</f>
        <v>61110.400000000001</v>
      </c>
      <c r="I19" s="41">
        <f>SUM(I9:I18)</f>
        <v>0</v>
      </c>
      <c r="J19" s="41">
        <f>SUM(J9:J18)</f>
        <v>624087.72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f>56470.13</f>
        <v>56470.13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112993.01</v>
      </c>
      <c r="G24" s="18">
        <f>11402.42+2275.41</f>
        <v>13677.83</v>
      </c>
      <c r="H24" s="18">
        <f>240+500+45.05+7.12</f>
        <v>792.17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31583.919999999998</v>
      </c>
      <c r="G28" s="18"/>
      <c r="H28" s="18">
        <v>486.25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10251.56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323.13</v>
      </c>
      <c r="H30" s="18">
        <f>3159+202.85</f>
        <v>3361.85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154828.49</v>
      </c>
      <c r="G32" s="41">
        <f>SUM(G22:G31)</f>
        <v>14000.96</v>
      </c>
      <c r="H32" s="41">
        <f>SUM(H22:H31)</f>
        <v>61110.399999999994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5170.3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25000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1682.71</v>
      </c>
      <c r="G48" s="18">
        <f>21652.98+177455.32-183501.41</f>
        <v>15606.890000000014</v>
      </c>
      <c r="H48" s="18"/>
      <c r="I48" s="18"/>
      <c r="J48" s="13">
        <f>SUM(I459)</f>
        <v>599087.72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532380.31+6083842.69-5991932.96</f>
        <v>624290.04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625972.75</v>
      </c>
      <c r="G51" s="41">
        <f>SUM(G35:G50)</f>
        <v>20777.190000000013</v>
      </c>
      <c r="H51" s="41">
        <f>SUM(H35:H50)</f>
        <v>0</v>
      </c>
      <c r="I51" s="41">
        <f>SUM(I35:I50)</f>
        <v>0</v>
      </c>
      <c r="J51" s="41">
        <f>SUM(J35:J50)</f>
        <v>624087.72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780801.24</v>
      </c>
      <c r="G52" s="41">
        <f>G51+G32</f>
        <v>34778.150000000009</v>
      </c>
      <c r="H52" s="41">
        <f>H51+H32</f>
        <v>61110.399999999994</v>
      </c>
      <c r="I52" s="41">
        <f>I51+I32</f>
        <v>0</v>
      </c>
      <c r="J52" s="41">
        <f>J51+J32</f>
        <v>624087.72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2355022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2355022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12825</v>
      </c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1209462.1399999999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210816.95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1433104.0899999999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54.56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71528.679999999993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18161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290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126105.16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20216.38</v>
      </c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f>13860+300.54</f>
        <v>14160.54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5765.05</v>
      </c>
      <c r="G110" s="18"/>
      <c r="H110" s="18">
        <f>2629+7389+397.44+252+1250+4346.92</f>
        <v>16264.36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184752.69</v>
      </c>
      <c r="G111" s="41">
        <f>SUM(G96:G110)</f>
        <v>71528.679999999993</v>
      </c>
      <c r="H111" s="41">
        <f>SUM(H96:H110)</f>
        <v>16264.36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3972878.78</v>
      </c>
      <c r="G112" s="41">
        <f>G60+G111</f>
        <v>71528.679999999993</v>
      </c>
      <c r="H112" s="41">
        <f>H60+H79+H94+H111</f>
        <v>16264.36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1748832.93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350111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4180.62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2103124.5499999998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>
        <v>1488.58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2525.54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>
        <v>0</v>
      </c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2525.54</v>
      </c>
      <c r="H136" s="41">
        <f>SUM(H123:H135)</f>
        <v>1488.58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2103124.5499999998</v>
      </c>
      <c r="G140" s="41">
        <f>G121+SUM(G136:G137)</f>
        <v>2525.54</v>
      </c>
      <c r="H140" s="41">
        <f>H121+SUM(H136:H139)</f>
        <v>1488.58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381.38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162625.13+6598.81+3750+1185.92</f>
        <v>174159.86000000002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20148.69+3473.98+26185.69</f>
        <v>49808.36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78401.100000000006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15936.41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7839.36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7839.36</v>
      </c>
      <c r="G162" s="41">
        <f>SUM(G150:G161)</f>
        <v>78401.100000000006</v>
      </c>
      <c r="H162" s="41">
        <f>SUM(H150:H161)</f>
        <v>240286.01000000004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7839.36</v>
      </c>
      <c r="G169" s="41">
        <f>G147+G162+SUM(G163:G168)</f>
        <v>78401.100000000006</v>
      </c>
      <c r="H169" s="41">
        <f>H147+H162+SUM(H163:H168)</f>
        <v>240286.01000000004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25000</v>
      </c>
      <c r="H179" s="18"/>
      <c r="I179" s="18"/>
      <c r="J179" s="18">
        <v>87000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25000</v>
      </c>
      <c r="H183" s="41">
        <f>SUM(H179:H182)</f>
        <v>0</v>
      </c>
      <c r="I183" s="41">
        <f>SUM(I179:I182)</f>
        <v>0</v>
      </c>
      <c r="J183" s="41">
        <f>SUM(J179:J182)</f>
        <v>87000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25000</v>
      </c>
      <c r="H192" s="41">
        <f>+H183+SUM(H188:H191)</f>
        <v>0</v>
      </c>
      <c r="I192" s="41">
        <f>I177+I183+SUM(I188:I191)</f>
        <v>0</v>
      </c>
      <c r="J192" s="41">
        <f>J183</f>
        <v>87000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6083842.6900000004</v>
      </c>
      <c r="G193" s="47">
        <f>G112+G140+G169+G192</f>
        <v>177455.32</v>
      </c>
      <c r="H193" s="47">
        <f>H112+H140+H169+H192</f>
        <v>258038.95000000004</v>
      </c>
      <c r="I193" s="47">
        <f>I112+I140+I169+I192</f>
        <v>0</v>
      </c>
      <c r="J193" s="47">
        <f>J112+J140+J192</f>
        <v>87000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863291.32</v>
      </c>
      <c r="G197" s="18">
        <v>428084.29</v>
      </c>
      <c r="H197" s="18">
        <f>2162.01+6196.54</f>
        <v>8358.5499999999993</v>
      </c>
      <c r="I197" s="18">
        <v>41425</v>
      </c>
      <c r="J197" s="18">
        <v>7407.57</v>
      </c>
      <c r="K197" s="18">
        <v>3509.95</v>
      </c>
      <c r="L197" s="19">
        <f>SUM(F197:K197)</f>
        <v>1352076.68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311587.26</v>
      </c>
      <c r="G198" s="18">
        <v>74802.399999999994</v>
      </c>
      <c r="H198" s="18">
        <v>211118.66</v>
      </c>
      <c r="I198" s="18">
        <v>1182.07</v>
      </c>
      <c r="J198" s="18">
        <v>0</v>
      </c>
      <c r="K198" s="18"/>
      <c r="L198" s="19">
        <f>SUM(F198:K198)</f>
        <v>598690.39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28546</v>
      </c>
      <c r="G200" s="18">
        <v>5717.98</v>
      </c>
      <c r="H200" s="18"/>
      <c r="I200" s="18"/>
      <c r="J200" s="18"/>
      <c r="K200" s="18">
        <v>135</v>
      </c>
      <c r="L200" s="19">
        <f>SUM(F200:K200)</f>
        <v>34398.979999999996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202851.8</v>
      </c>
      <c r="G202" s="18">
        <v>39833.9</v>
      </c>
      <c r="H202" s="18">
        <f>134610.39+120+7398.72</f>
        <v>142129.11000000002</v>
      </c>
      <c r="I202" s="18">
        <v>3601.93</v>
      </c>
      <c r="J202" s="18">
        <v>21823.759999999998</v>
      </c>
      <c r="K202" s="18">
        <v>5442.34</v>
      </c>
      <c r="L202" s="19">
        <f t="shared" ref="L202:L208" si="0">SUM(F202:K202)</f>
        <v>415682.84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35373.83</v>
      </c>
      <c r="G203" s="18">
        <v>25423.78</v>
      </c>
      <c r="H203" s="18">
        <f>8237.06+228.32</f>
        <v>8465.3799999999992</v>
      </c>
      <c r="I203" s="18">
        <v>6105.45</v>
      </c>
      <c r="J203" s="18"/>
      <c r="K203" s="18">
        <f>906.25+4690</f>
        <v>5596.25</v>
      </c>
      <c r="L203" s="19">
        <f t="shared" si="0"/>
        <v>80964.69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5992.84</v>
      </c>
      <c r="G204" s="18">
        <v>485.87</v>
      </c>
      <c r="H204" s="18">
        <f>268199.19+9152.35</f>
        <v>277351.53999999998</v>
      </c>
      <c r="I204" s="18">
        <v>928.54</v>
      </c>
      <c r="J204" s="18"/>
      <c r="K204" s="18">
        <v>4367.5</v>
      </c>
      <c r="L204" s="19">
        <f t="shared" si="0"/>
        <v>289126.28999999998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152418.46</v>
      </c>
      <c r="G205" s="18">
        <v>50828.98</v>
      </c>
      <c r="H205" s="18">
        <f>3192.83+125.51+9824.85</f>
        <v>13143.19</v>
      </c>
      <c r="I205" s="18">
        <v>3169.32</v>
      </c>
      <c r="J205" s="18"/>
      <c r="K205" s="18">
        <v>270</v>
      </c>
      <c r="L205" s="19">
        <f t="shared" si="0"/>
        <v>219829.95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125558.2</v>
      </c>
      <c r="G207" s="18">
        <v>48039.56</v>
      </c>
      <c r="H207" s="18">
        <f>28928.19+48203.73+16677.5</f>
        <v>93809.42</v>
      </c>
      <c r="I207" s="18">
        <v>151418.84</v>
      </c>
      <c r="J207" s="18">
        <v>23245.91</v>
      </c>
      <c r="K207" s="18">
        <v>297.72000000000003</v>
      </c>
      <c r="L207" s="19">
        <f t="shared" si="0"/>
        <v>442369.64999999997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11320.06</v>
      </c>
      <c r="G208" s="18">
        <v>1539.04</v>
      </c>
      <c r="H208" s="18">
        <f>1429.82+125309.31</f>
        <v>126739.13</v>
      </c>
      <c r="I208" s="18">
        <v>3403.18</v>
      </c>
      <c r="J208" s="18">
        <v>747.5</v>
      </c>
      <c r="K208" s="18"/>
      <c r="L208" s="19">
        <f t="shared" si="0"/>
        <v>143748.91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1736939.7700000003</v>
      </c>
      <c r="G211" s="41">
        <f t="shared" si="1"/>
        <v>674755.8</v>
      </c>
      <c r="H211" s="41">
        <f t="shared" si="1"/>
        <v>881114.98</v>
      </c>
      <c r="I211" s="41">
        <f t="shared" si="1"/>
        <v>211234.33</v>
      </c>
      <c r="J211" s="41">
        <f t="shared" si="1"/>
        <v>53224.74</v>
      </c>
      <c r="K211" s="41">
        <f t="shared" si="1"/>
        <v>19618.760000000002</v>
      </c>
      <c r="L211" s="41">
        <f t="shared" si="1"/>
        <v>3576888.38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674591.73</v>
      </c>
      <c r="G233" s="18">
        <v>361886.56</v>
      </c>
      <c r="H233" s="18">
        <f>14850+3082.68+5471.59</f>
        <v>23404.27</v>
      </c>
      <c r="I233" s="18">
        <v>19920.93</v>
      </c>
      <c r="J233" s="18">
        <v>9955.9599999999991</v>
      </c>
      <c r="K233" s="18">
        <v>3571.2</v>
      </c>
      <c r="L233" s="19">
        <f>SUM(F233:K233)</f>
        <v>1093330.6499999999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96752.83</v>
      </c>
      <c r="G234" s="18">
        <v>26994.880000000001</v>
      </c>
      <c r="H234" s="18"/>
      <c r="I234" s="18"/>
      <c r="J234" s="18"/>
      <c r="K234" s="18"/>
      <c r="L234" s="19">
        <f>SUM(F234:K234)</f>
        <v>123747.71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17500</v>
      </c>
      <c r="I235" s="18"/>
      <c r="J235" s="18"/>
      <c r="K235" s="18"/>
      <c r="L235" s="19">
        <f>SUM(F235:K235)</f>
        <v>17500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70149.5</v>
      </c>
      <c r="G236" s="18">
        <v>10807.82</v>
      </c>
      <c r="H236" s="18">
        <f>9108+911.3</f>
        <v>10019.299999999999</v>
      </c>
      <c r="I236" s="18">
        <v>4120.42</v>
      </c>
      <c r="J236" s="18">
        <v>557.36</v>
      </c>
      <c r="K236" s="18">
        <v>8329.75</v>
      </c>
      <c r="L236" s="19">
        <f>SUM(F236:K236)</f>
        <v>103984.15000000001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104035.47</v>
      </c>
      <c r="G238" s="18">
        <v>47685.15</v>
      </c>
      <c r="H238" s="18">
        <f>61346.76+311.54</f>
        <v>61658.3</v>
      </c>
      <c r="I238" s="18">
        <v>2563.08</v>
      </c>
      <c r="J238" s="18">
        <v>21903.18</v>
      </c>
      <c r="K238" s="18">
        <v>2449.8000000000002</v>
      </c>
      <c r="L238" s="19">
        <f t="shared" ref="L238:L244" si="4">SUM(F238:K238)</f>
        <v>240294.97999999995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26754.400000000001</v>
      </c>
      <c r="G239" s="18">
        <v>12130.79</v>
      </c>
      <c r="H239" s="18">
        <f>1732.5+125.5</f>
        <v>1858</v>
      </c>
      <c r="I239" s="18">
        <v>3456.87</v>
      </c>
      <c r="J239" s="18"/>
      <c r="K239" s="18">
        <f>906.25+2010</f>
        <v>2916.25</v>
      </c>
      <c r="L239" s="19">
        <f t="shared" si="4"/>
        <v>47116.310000000005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2752.26</v>
      </c>
      <c r="G240" s="18">
        <v>223.71</v>
      </c>
      <c r="H240" s="18">
        <f>117635.83+4733.56</f>
        <v>122369.39</v>
      </c>
      <c r="I240" s="18">
        <v>339.31</v>
      </c>
      <c r="J240" s="18"/>
      <c r="K240" s="18">
        <v>2697.44</v>
      </c>
      <c r="L240" s="19">
        <f t="shared" si="4"/>
        <v>128382.11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127233.26</v>
      </c>
      <c r="G241" s="18">
        <v>40813.49</v>
      </c>
      <c r="H241" s="18">
        <f>2922.26+5549.43</f>
        <v>8471.69</v>
      </c>
      <c r="I241" s="18">
        <v>3201.41</v>
      </c>
      <c r="J241" s="18"/>
      <c r="K241" s="18">
        <v>1320</v>
      </c>
      <c r="L241" s="19">
        <f t="shared" si="4"/>
        <v>181039.85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74979.37</v>
      </c>
      <c r="G243" s="18">
        <v>26884.1</v>
      </c>
      <c r="H243" s="18">
        <f>39712.41+30483.89+7196</f>
        <v>77392.3</v>
      </c>
      <c r="I243" s="18">
        <v>63572.5</v>
      </c>
      <c r="J243" s="18">
        <v>5746.56</v>
      </c>
      <c r="K243" s="18">
        <v>87.78</v>
      </c>
      <c r="L243" s="19">
        <f t="shared" si="4"/>
        <v>248662.61000000002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f>1314.67+1117.05</f>
        <v>2431.7200000000003</v>
      </c>
      <c r="G244" s="18">
        <f>262.62+85.46</f>
        <v>348.08</v>
      </c>
      <c r="H244" s="18">
        <f>1148.24+88807.37</f>
        <v>89955.61</v>
      </c>
      <c r="I244" s="18">
        <v>2407.3000000000002</v>
      </c>
      <c r="J244" s="18"/>
      <c r="K244" s="18">
        <v>7.5</v>
      </c>
      <c r="L244" s="19">
        <f t="shared" si="4"/>
        <v>95150.21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1179680.5399999998</v>
      </c>
      <c r="G247" s="41">
        <f t="shared" si="5"/>
        <v>527774.57999999996</v>
      </c>
      <c r="H247" s="41">
        <f t="shared" si="5"/>
        <v>412628.86</v>
      </c>
      <c r="I247" s="41">
        <f t="shared" si="5"/>
        <v>99581.82</v>
      </c>
      <c r="J247" s="41">
        <f t="shared" si="5"/>
        <v>38163.06</v>
      </c>
      <c r="K247" s="41">
        <f t="shared" si="5"/>
        <v>21379.719999999998</v>
      </c>
      <c r="L247" s="41">
        <f t="shared" si="5"/>
        <v>2279208.58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2916620.31</v>
      </c>
      <c r="G257" s="41">
        <f t="shared" si="8"/>
        <v>1202530.3799999999</v>
      </c>
      <c r="H257" s="41">
        <f t="shared" si="8"/>
        <v>1293743.8399999999</v>
      </c>
      <c r="I257" s="41">
        <f t="shared" si="8"/>
        <v>310816.15000000002</v>
      </c>
      <c r="J257" s="41">
        <f t="shared" si="8"/>
        <v>91387.799999999988</v>
      </c>
      <c r="K257" s="41">
        <f t="shared" si="8"/>
        <v>40998.479999999996</v>
      </c>
      <c r="L257" s="41">
        <f t="shared" si="8"/>
        <v>5856096.96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25000</v>
      </c>
      <c r="L263" s="19">
        <f>SUM(F263:K263)</f>
        <v>25000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87000</v>
      </c>
      <c r="L266" s="19">
        <f t="shared" si="9"/>
        <v>87000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23836</v>
      </c>
      <c r="L268" s="19">
        <f t="shared" si="9"/>
        <v>23836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135836</v>
      </c>
      <c r="L270" s="41">
        <f t="shared" si="9"/>
        <v>135836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2916620.31</v>
      </c>
      <c r="G271" s="42">
        <f t="shared" si="11"/>
        <v>1202530.3799999999</v>
      </c>
      <c r="H271" s="42">
        <f t="shared" si="11"/>
        <v>1293743.8399999999</v>
      </c>
      <c r="I271" s="42">
        <f t="shared" si="11"/>
        <v>310816.15000000002</v>
      </c>
      <c r="J271" s="42">
        <f t="shared" si="11"/>
        <v>91387.799999999988</v>
      </c>
      <c r="K271" s="42">
        <f t="shared" si="11"/>
        <v>176834.47999999998</v>
      </c>
      <c r="L271" s="42">
        <f t="shared" si="11"/>
        <v>5991932.96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123415.67999999999</v>
      </c>
      <c r="G276" s="18">
        <v>33427</v>
      </c>
      <c r="H276" s="18">
        <v>0</v>
      </c>
      <c r="I276" s="18">
        <v>702</v>
      </c>
      <c r="J276" s="18">
        <v>1914.98</v>
      </c>
      <c r="K276" s="18"/>
      <c r="L276" s="19">
        <f>SUM(F276:K276)</f>
        <v>159459.66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17974.39</v>
      </c>
      <c r="G277" s="18">
        <v>4379.51</v>
      </c>
      <c r="H277" s="18"/>
      <c r="I277" s="18">
        <v>510.84</v>
      </c>
      <c r="J277" s="18">
        <v>4761.03</v>
      </c>
      <c r="K277" s="18"/>
      <c r="L277" s="19">
        <f>SUM(F277:K277)</f>
        <v>27625.77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3699.51</v>
      </c>
      <c r="G279" s="18">
        <v>749.56</v>
      </c>
      <c r="H279" s="18"/>
      <c r="I279" s="18"/>
      <c r="J279" s="18"/>
      <c r="K279" s="18">
        <v>68</v>
      </c>
      <c r="L279" s="19">
        <f>SUM(F279:K279)</f>
        <v>4517.07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1889.37</v>
      </c>
      <c r="G281" s="18">
        <v>144.53</v>
      </c>
      <c r="H281" s="18">
        <v>15936.41</v>
      </c>
      <c r="I281" s="18">
        <v>144.34</v>
      </c>
      <c r="J281" s="18">
        <v>252</v>
      </c>
      <c r="K281" s="18"/>
      <c r="L281" s="19">
        <f t="shared" ref="L281:L287" si="12">SUM(F281:K281)</f>
        <v>18366.650000000001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2660.5</v>
      </c>
      <c r="G282" s="18">
        <v>661.66</v>
      </c>
      <c r="H282" s="18">
        <f>1936+3069.67</f>
        <v>5005.67</v>
      </c>
      <c r="I282" s="18"/>
      <c r="J282" s="18">
        <v>7000</v>
      </c>
      <c r="K282" s="18"/>
      <c r="L282" s="19">
        <f t="shared" si="12"/>
        <v>15327.83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3650</v>
      </c>
      <c r="G283" s="18">
        <v>896.84</v>
      </c>
      <c r="H283" s="18">
        <v>273</v>
      </c>
      <c r="I283" s="18"/>
      <c r="J283" s="18"/>
      <c r="K283" s="18"/>
      <c r="L283" s="19">
        <f t="shared" si="12"/>
        <v>4819.84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0</v>
      </c>
      <c r="I287" s="18"/>
      <c r="J287" s="18"/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153289.45000000001</v>
      </c>
      <c r="G290" s="42">
        <f t="shared" si="13"/>
        <v>40259.1</v>
      </c>
      <c r="H290" s="42">
        <f t="shared" si="13"/>
        <v>21215.08</v>
      </c>
      <c r="I290" s="42">
        <f t="shared" si="13"/>
        <v>1357.1799999999998</v>
      </c>
      <c r="J290" s="42">
        <f t="shared" si="13"/>
        <v>13928.01</v>
      </c>
      <c r="K290" s="42">
        <f t="shared" si="13"/>
        <v>68</v>
      </c>
      <c r="L290" s="41">
        <f t="shared" si="13"/>
        <v>230116.81999999998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>
        <v>150</v>
      </c>
      <c r="J314" s="18"/>
      <c r="K314" s="18">
        <v>11523.39</v>
      </c>
      <c r="L314" s="19">
        <f>SUM(F314:K314)</f>
        <v>11673.39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800</v>
      </c>
      <c r="G317" s="18">
        <v>120.25</v>
      </c>
      <c r="H317" s="18"/>
      <c r="I317" s="18">
        <v>100</v>
      </c>
      <c r="J317" s="18">
        <v>418.33</v>
      </c>
      <c r="K317" s="18">
        <v>2779</v>
      </c>
      <c r="L317" s="19">
        <f>SUM(F317:K317)</f>
        <v>4217.58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1071</v>
      </c>
      <c r="G320" s="18">
        <v>267.87</v>
      </c>
      <c r="H320" s="18">
        <f>4180+2234.29</f>
        <v>6414.29</v>
      </c>
      <c r="I320" s="18"/>
      <c r="J320" s="18"/>
      <c r="K320" s="18">
        <v>3875</v>
      </c>
      <c r="L320" s="19">
        <f t="shared" si="16"/>
        <v>11628.16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403</v>
      </c>
      <c r="I325" s="18"/>
      <c r="J325" s="18"/>
      <c r="K325" s="18"/>
      <c r="L325" s="19">
        <f t="shared" si="16"/>
        <v>403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1871</v>
      </c>
      <c r="G328" s="42">
        <f t="shared" si="17"/>
        <v>388.12</v>
      </c>
      <c r="H328" s="42">
        <f t="shared" si="17"/>
        <v>6817.29</v>
      </c>
      <c r="I328" s="42">
        <f t="shared" si="17"/>
        <v>250</v>
      </c>
      <c r="J328" s="42">
        <f t="shared" si="17"/>
        <v>418.33</v>
      </c>
      <c r="K328" s="42">
        <f t="shared" si="17"/>
        <v>18177.39</v>
      </c>
      <c r="L328" s="41">
        <f t="shared" si="17"/>
        <v>27922.129999999997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155160.45000000001</v>
      </c>
      <c r="G338" s="41">
        <f t="shared" si="20"/>
        <v>40647.22</v>
      </c>
      <c r="H338" s="41">
        <f t="shared" si="20"/>
        <v>28032.370000000003</v>
      </c>
      <c r="I338" s="41">
        <f t="shared" si="20"/>
        <v>1607.1799999999998</v>
      </c>
      <c r="J338" s="41">
        <f t="shared" si="20"/>
        <v>14346.34</v>
      </c>
      <c r="K338" s="41">
        <f t="shared" si="20"/>
        <v>18245.39</v>
      </c>
      <c r="L338" s="41">
        <f t="shared" si="20"/>
        <v>258038.94999999998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155160.45000000001</v>
      </c>
      <c r="G352" s="41">
        <f>G338</f>
        <v>40647.22</v>
      </c>
      <c r="H352" s="41">
        <f>H338</f>
        <v>28032.370000000003</v>
      </c>
      <c r="I352" s="41">
        <f>I338</f>
        <v>1607.1799999999998</v>
      </c>
      <c r="J352" s="41">
        <f>J338</f>
        <v>14346.34</v>
      </c>
      <c r="K352" s="47">
        <f>K338+K351</f>
        <v>18245.39</v>
      </c>
      <c r="L352" s="41">
        <f>L338+L351</f>
        <v>258038.94999999998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>
        <v>378</v>
      </c>
      <c r="H358" s="18">
        <f>1416+5584.65+122454.01</f>
        <v>129454.65999999999</v>
      </c>
      <c r="I358" s="18">
        <v>1188.46</v>
      </c>
      <c r="J358" s="18"/>
      <c r="K358" s="18"/>
      <c r="L358" s="13">
        <f>SUM(F358:K358)</f>
        <v>131021.12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52480.29</v>
      </c>
      <c r="I360" s="18"/>
      <c r="J360" s="18"/>
      <c r="K360" s="18"/>
      <c r="L360" s="19">
        <f>SUM(F360:K360)</f>
        <v>52480.29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378</v>
      </c>
      <c r="H362" s="47">
        <f t="shared" si="22"/>
        <v>181934.94999999998</v>
      </c>
      <c r="I362" s="47">
        <f t="shared" si="22"/>
        <v>1188.46</v>
      </c>
      <c r="J362" s="47">
        <f t="shared" si="22"/>
        <v>0</v>
      </c>
      <c r="K362" s="47">
        <f t="shared" si="22"/>
        <v>0</v>
      </c>
      <c r="L362" s="47">
        <f t="shared" si="22"/>
        <v>183501.41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1188.46</v>
      </c>
      <c r="G368" s="63"/>
      <c r="H368" s="63"/>
      <c r="I368" s="56">
        <f>SUM(F368:H368)</f>
        <v>1188.46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1188.46</v>
      </c>
      <c r="G369" s="47">
        <f>SUM(G367:G368)</f>
        <v>0</v>
      </c>
      <c r="H369" s="47">
        <f>SUM(H367:H368)</f>
        <v>0</v>
      </c>
      <c r="I369" s="47">
        <f>SUM(I367:I368)</f>
        <v>1188.46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v>75000</v>
      </c>
      <c r="H396" s="18"/>
      <c r="I396" s="18"/>
      <c r="J396" s="24" t="s">
        <v>286</v>
      </c>
      <c r="K396" s="24" t="s">
        <v>286</v>
      </c>
      <c r="L396" s="56">
        <f t="shared" si="26"/>
        <v>75000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12000</v>
      </c>
      <c r="H400" s="18"/>
      <c r="I400" s="18"/>
      <c r="J400" s="24" t="s">
        <v>286</v>
      </c>
      <c r="K400" s="24" t="s">
        <v>286</v>
      </c>
      <c r="L400" s="56">
        <f t="shared" si="26"/>
        <v>12000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87000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87000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87000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87000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f>537087.72+87000</f>
        <v>624087.72</v>
      </c>
      <c r="H439" s="18"/>
      <c r="I439" s="56">
        <f t="shared" ref="I439:I445" si="33">SUM(F439:H439)</f>
        <v>624087.72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624087.72</v>
      </c>
      <c r="H446" s="13">
        <f>SUM(H439:H445)</f>
        <v>0</v>
      </c>
      <c r="I446" s="13">
        <f>SUM(I439:I445)</f>
        <v>624087.72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>
        <v>25000</v>
      </c>
      <c r="H457" s="18"/>
      <c r="I457" s="56">
        <f t="shared" si="34"/>
        <v>25000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f>512087.72+87000</f>
        <v>599087.72</v>
      </c>
      <c r="H459" s="18"/>
      <c r="I459" s="56">
        <f t="shared" si="34"/>
        <v>599087.72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624087.72</v>
      </c>
      <c r="H460" s="83">
        <f>SUM(H454:H459)</f>
        <v>0</v>
      </c>
      <c r="I460" s="83">
        <f>SUM(I454:I459)</f>
        <v>624087.72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624087.72</v>
      </c>
      <c r="H461" s="42">
        <f>H452+H460</f>
        <v>0</v>
      </c>
      <c r="I461" s="42">
        <f>I452+I460</f>
        <v>624087.72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532583.88+1682.71</f>
        <v>534266.59</v>
      </c>
      <c r="G465" s="18">
        <v>29380.59</v>
      </c>
      <c r="H465" s="18"/>
      <c r="I465" s="18"/>
      <c r="J465" s="18">
        <v>537087.72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6083842.69</f>
        <v>6083842.6900000004</v>
      </c>
      <c r="G468" s="18">
        <v>177455.32</v>
      </c>
      <c r="H468" s="18">
        <f>258038.95</f>
        <v>258038.95</v>
      </c>
      <c r="I468" s="18"/>
      <c r="J468" s="18">
        <v>87000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0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6083842.6900000004</v>
      </c>
      <c r="G470" s="53">
        <f>SUM(G468:G469)</f>
        <v>177455.32</v>
      </c>
      <c r="H470" s="53">
        <f>SUM(H468:H469)</f>
        <v>258038.95</v>
      </c>
      <c r="I470" s="53">
        <f>SUM(I468:I469)</f>
        <v>0</v>
      </c>
      <c r="J470" s="53">
        <f>SUM(J468:J469)</f>
        <v>87000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5991932.96</v>
      </c>
      <c r="G472" s="18">
        <v>183501.41</v>
      </c>
      <c r="H472" s="18">
        <f>258038.95</f>
        <v>258038.95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203.57</v>
      </c>
      <c r="G473" s="18">
        <v>2557.31</v>
      </c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5992136.5300000003</v>
      </c>
      <c r="G474" s="53">
        <f>SUM(G472:G473)</f>
        <v>186058.72</v>
      </c>
      <c r="H474" s="53">
        <f>SUM(H472:H473)</f>
        <v>258038.95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625972.75</v>
      </c>
      <c r="G476" s="53">
        <f>(G465+G470)- G474</f>
        <v>20777.190000000002</v>
      </c>
      <c r="H476" s="53">
        <f>(H465+H470)- H474</f>
        <v>0</v>
      </c>
      <c r="I476" s="53">
        <f>(I465+I470)- I474</f>
        <v>0</v>
      </c>
      <c r="J476" s="53">
        <f>(J465+J470)- J474</f>
        <v>624087.72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329561.65000000002</v>
      </c>
      <c r="G521" s="18">
        <v>79181.91</v>
      </c>
      <c r="H521" s="18">
        <v>211118.66</v>
      </c>
      <c r="I521" s="18">
        <v>1692.91</v>
      </c>
      <c r="J521" s="18">
        <v>4761.03</v>
      </c>
      <c r="K521" s="18"/>
      <c r="L521" s="88">
        <f>SUM(F521:K521)</f>
        <v>626316.16000000015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96752.83</v>
      </c>
      <c r="G523" s="18">
        <v>26994.880000000001</v>
      </c>
      <c r="H523" s="18"/>
      <c r="I523" s="18"/>
      <c r="J523" s="18"/>
      <c r="K523" s="18"/>
      <c r="L523" s="88">
        <f>SUM(F523:K523)</f>
        <v>123747.71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426314.48000000004</v>
      </c>
      <c r="G524" s="108">
        <f t="shared" ref="G524:L524" si="36">SUM(G521:G523)</f>
        <v>106176.79000000001</v>
      </c>
      <c r="H524" s="108">
        <f t="shared" si="36"/>
        <v>211118.66</v>
      </c>
      <c r="I524" s="108">
        <f t="shared" si="36"/>
        <v>1692.91</v>
      </c>
      <c r="J524" s="108">
        <f t="shared" si="36"/>
        <v>4761.03</v>
      </c>
      <c r="K524" s="108">
        <f t="shared" si="36"/>
        <v>0</v>
      </c>
      <c r="L524" s="89">
        <f t="shared" si="36"/>
        <v>750063.87000000011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71360.19</v>
      </c>
      <c r="G526" s="18">
        <v>5968.69</v>
      </c>
      <c r="H526" s="18">
        <f>23930.53+328.16+12802</f>
        <v>37060.69</v>
      </c>
      <c r="I526" s="18">
        <v>1259.0899999999999</v>
      </c>
      <c r="J526" s="18"/>
      <c r="K526" s="18">
        <v>1435.43</v>
      </c>
      <c r="L526" s="88">
        <f>SUM(F526:K526)</f>
        <v>117084.09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4151.5600000000004</v>
      </c>
      <c r="G528" s="18">
        <v>331.78</v>
      </c>
      <c r="H528" s="18">
        <f>4158.36+21124</f>
        <v>25282.36</v>
      </c>
      <c r="I528" s="18"/>
      <c r="J528" s="18"/>
      <c r="K528" s="18"/>
      <c r="L528" s="88">
        <f>SUM(F528:K528)</f>
        <v>29765.7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75511.75</v>
      </c>
      <c r="G529" s="89">
        <f t="shared" ref="G529:L529" si="37">SUM(G526:G528)</f>
        <v>6300.4699999999993</v>
      </c>
      <c r="H529" s="89">
        <f t="shared" si="37"/>
        <v>62343.05</v>
      </c>
      <c r="I529" s="89">
        <f t="shared" si="37"/>
        <v>1259.0899999999999</v>
      </c>
      <c r="J529" s="89">
        <f t="shared" si="37"/>
        <v>0</v>
      </c>
      <c r="K529" s="89">
        <f t="shared" si="37"/>
        <v>1435.43</v>
      </c>
      <c r="L529" s="89">
        <f t="shared" si="37"/>
        <v>146849.79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f>147.8+29092</f>
        <v>29239.8</v>
      </c>
      <c r="I531" s="18"/>
      <c r="J531" s="18"/>
      <c r="K531" s="18"/>
      <c r="L531" s="88">
        <f>SUM(F531:K531)</f>
        <v>29239.8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6290</v>
      </c>
      <c r="I533" s="18"/>
      <c r="J533" s="18"/>
      <c r="K533" s="18"/>
      <c r="L533" s="88">
        <f>SUM(F533:K533)</f>
        <v>6290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35529.800000000003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35529.800000000003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11320.06</v>
      </c>
      <c r="G541" s="18">
        <v>1478.24</v>
      </c>
      <c r="H541" s="18">
        <f>1429.82+1472</f>
        <v>2901.8199999999997</v>
      </c>
      <c r="I541" s="18">
        <v>3403.18</v>
      </c>
      <c r="J541" s="18"/>
      <c r="K541" s="18">
        <v>740</v>
      </c>
      <c r="L541" s="88">
        <f>SUM(F541:K541)</f>
        <v>19843.3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209.8</v>
      </c>
      <c r="I543" s="18"/>
      <c r="J543" s="18"/>
      <c r="K543" s="18"/>
      <c r="L543" s="88">
        <f>SUM(F543:K543)</f>
        <v>209.8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11320.06</v>
      </c>
      <c r="G544" s="193">
        <f t="shared" ref="G544:L544" si="40">SUM(G541:G543)</f>
        <v>1478.24</v>
      </c>
      <c r="H544" s="193">
        <f t="shared" si="40"/>
        <v>3111.62</v>
      </c>
      <c r="I544" s="193">
        <f t="shared" si="40"/>
        <v>3403.18</v>
      </c>
      <c r="J544" s="193">
        <f t="shared" si="40"/>
        <v>0</v>
      </c>
      <c r="K544" s="193">
        <f t="shared" si="40"/>
        <v>740</v>
      </c>
      <c r="L544" s="193">
        <f t="shared" si="40"/>
        <v>20053.099999999999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513146.29000000004</v>
      </c>
      <c r="G545" s="89">
        <f t="shared" ref="G545:L545" si="41">G524+G529+G534+G539+G544</f>
        <v>113955.50000000001</v>
      </c>
      <c r="H545" s="89">
        <f t="shared" si="41"/>
        <v>312103.13</v>
      </c>
      <c r="I545" s="89">
        <f t="shared" si="41"/>
        <v>6355.18</v>
      </c>
      <c r="J545" s="89">
        <f t="shared" si="41"/>
        <v>4761.03</v>
      </c>
      <c r="K545" s="89">
        <f t="shared" si="41"/>
        <v>2175.4300000000003</v>
      </c>
      <c r="L545" s="89">
        <f t="shared" si="41"/>
        <v>952496.56000000017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626316.16000000015</v>
      </c>
      <c r="G549" s="87">
        <f>L526</f>
        <v>117084.09</v>
      </c>
      <c r="H549" s="87">
        <f>L531</f>
        <v>29239.8</v>
      </c>
      <c r="I549" s="87">
        <f>L536</f>
        <v>0</v>
      </c>
      <c r="J549" s="87">
        <f>L541</f>
        <v>19843.3</v>
      </c>
      <c r="K549" s="87">
        <f>SUM(F549:J549)</f>
        <v>792483.35000000021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123747.71</v>
      </c>
      <c r="G551" s="87">
        <f>L528</f>
        <v>29765.7</v>
      </c>
      <c r="H551" s="87">
        <f>L533</f>
        <v>6290</v>
      </c>
      <c r="I551" s="87">
        <f>L538</f>
        <v>0</v>
      </c>
      <c r="J551" s="87">
        <f>L543</f>
        <v>209.8</v>
      </c>
      <c r="K551" s="87">
        <f>SUM(F551:J551)</f>
        <v>160013.21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750063.87000000011</v>
      </c>
      <c r="G552" s="89">
        <f t="shared" si="42"/>
        <v>146849.79</v>
      </c>
      <c r="H552" s="89">
        <f t="shared" si="42"/>
        <v>35529.800000000003</v>
      </c>
      <c r="I552" s="89">
        <f t="shared" si="42"/>
        <v>0</v>
      </c>
      <c r="J552" s="89">
        <f t="shared" si="42"/>
        <v>20053.099999999999</v>
      </c>
      <c r="K552" s="89">
        <f t="shared" si="42"/>
        <v>952496.56000000017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83075.210000000006</v>
      </c>
      <c r="G578" s="18"/>
      <c r="H578" s="18"/>
      <c r="I578" s="87">
        <f t="shared" si="47"/>
        <v>83075.210000000006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128043.45</v>
      </c>
      <c r="G583" s="18"/>
      <c r="H583" s="18"/>
      <c r="I583" s="87">
        <f t="shared" si="47"/>
        <v>128043.45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>
        <v>17500</v>
      </c>
      <c r="I585" s="87">
        <f t="shared" si="47"/>
        <v>17500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113394.33-403</f>
        <v>112991.33</v>
      </c>
      <c r="I591" s="18"/>
      <c r="J591" s="18">
        <v>68161.95</v>
      </c>
      <c r="K591" s="104">
        <f t="shared" ref="K591:K597" si="48">SUM(H591:J591)</f>
        <v>181153.28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19904.099999999999</v>
      </c>
      <c r="I592" s="18"/>
      <c r="J592" s="18">
        <v>244</v>
      </c>
      <c r="K592" s="104">
        <f t="shared" si="48"/>
        <v>20148.099999999999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3281.19</v>
      </c>
      <c r="K593" s="104">
        <f t="shared" si="48"/>
        <v>3281.19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3704.3</v>
      </c>
      <c r="I594" s="18"/>
      <c r="J594" s="18">
        <v>19035.599999999999</v>
      </c>
      <c r="K594" s="104">
        <f t="shared" si="48"/>
        <v>22739.899999999998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7149.18</v>
      </c>
      <c r="I595" s="18"/>
      <c r="J595" s="18">
        <v>3224.96</v>
      </c>
      <c r="K595" s="104">
        <f t="shared" si="48"/>
        <v>10374.14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>
        <v>1202.51</v>
      </c>
      <c r="K596" s="104">
        <f t="shared" si="48"/>
        <v>1202.51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143748.90999999997</v>
      </c>
      <c r="I598" s="108">
        <f>SUM(I591:I597)</f>
        <v>0</v>
      </c>
      <c r="J598" s="108">
        <f>SUM(J591:J597)</f>
        <v>95150.209999999992</v>
      </c>
      <c r="K598" s="108">
        <f>SUM(K591:K597)</f>
        <v>238899.12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67152.75</v>
      </c>
      <c r="I604" s="18"/>
      <c r="J604" s="18">
        <v>38581.39</v>
      </c>
      <c r="K604" s="104">
        <f>SUM(H604:J604)</f>
        <v>105734.14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67152.75</v>
      </c>
      <c r="I605" s="108">
        <f>SUM(I602:I604)</f>
        <v>0</v>
      </c>
      <c r="J605" s="108">
        <f>SUM(J602:J604)</f>
        <v>38581.39</v>
      </c>
      <c r="K605" s="108">
        <f>SUM(K602:K604)</f>
        <v>105734.14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780801.24</v>
      </c>
      <c r="H617" s="109">
        <f>SUM(F52)</f>
        <v>780801.24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34778.15</v>
      </c>
      <c r="H618" s="109">
        <f>SUM(G52)</f>
        <v>34778.150000000009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61110.400000000001</v>
      </c>
      <c r="H619" s="109">
        <f>SUM(H52)</f>
        <v>61110.399999999994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624087.72</v>
      </c>
      <c r="H621" s="109">
        <f>SUM(J52)</f>
        <v>624087.72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625972.75</v>
      </c>
      <c r="H622" s="109">
        <f>F476</f>
        <v>625972.75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20777.190000000013</v>
      </c>
      <c r="H623" s="109">
        <f>G476</f>
        <v>20777.190000000002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624087.72</v>
      </c>
      <c r="H626" s="109">
        <f>J476</f>
        <v>624087.72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6083842.6900000004</v>
      </c>
      <c r="H627" s="104">
        <f>SUM(F468)</f>
        <v>6083842.6900000004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177455.32</v>
      </c>
      <c r="H628" s="104">
        <f>SUM(G468)</f>
        <v>177455.32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258038.95000000004</v>
      </c>
      <c r="H629" s="104">
        <f>SUM(H468)</f>
        <v>258038.95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87000</v>
      </c>
      <c r="H631" s="104">
        <f>SUM(J468)</f>
        <v>87000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5991932.96</v>
      </c>
      <c r="H632" s="104">
        <f>SUM(F472)</f>
        <v>5991932.96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258038.94999999998</v>
      </c>
      <c r="H633" s="104">
        <f>SUM(H472)</f>
        <v>258038.95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1188.46</v>
      </c>
      <c r="H634" s="104">
        <f>I369</f>
        <v>1188.46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183501.41</v>
      </c>
      <c r="H635" s="104">
        <f>SUM(G472)</f>
        <v>183501.41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87000</v>
      </c>
      <c r="H637" s="164">
        <f>SUM(J468)</f>
        <v>87000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624087.72</v>
      </c>
      <c r="H640" s="104">
        <f>SUM(G461)</f>
        <v>624087.72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624087.72</v>
      </c>
      <c r="H642" s="104">
        <f>SUM(I461)</f>
        <v>624087.72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87000</v>
      </c>
      <c r="H645" s="104">
        <f>G408</f>
        <v>87000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87000</v>
      </c>
      <c r="H646" s="104">
        <f>L408</f>
        <v>87000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238899.12</v>
      </c>
      <c r="H647" s="104">
        <f>L208+L226+L244</f>
        <v>238899.12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105734.14</v>
      </c>
      <c r="H648" s="104">
        <f>(J257+J338)-(J255+J336)</f>
        <v>105734.13999999998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143748.91</v>
      </c>
      <c r="H649" s="104">
        <f>H598</f>
        <v>143748.90999999997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95150.21</v>
      </c>
      <c r="H651" s="104">
        <f>J598</f>
        <v>95150.209999999992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25000</v>
      </c>
      <c r="H652" s="104">
        <f>K263+K345</f>
        <v>25000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87000</v>
      </c>
      <c r="H655" s="104">
        <f>K266+K347</f>
        <v>87000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3938026.32</v>
      </c>
      <c r="G660" s="19">
        <f>(L229+L309+L359)</f>
        <v>0</v>
      </c>
      <c r="H660" s="19">
        <f>(L247+L328+L360)</f>
        <v>2359611</v>
      </c>
      <c r="I660" s="19">
        <f>SUM(F660:H660)</f>
        <v>6297637.3200000003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51071.911467718957</v>
      </c>
      <c r="G661" s="19">
        <f>(L359/IF(SUM(L358:L360)=0,1,SUM(L358:L360))*(SUM(G97:G110)))</f>
        <v>0</v>
      </c>
      <c r="H661" s="19">
        <f>(L360/IF(SUM(L358:L360)=0,1,SUM(L358:L360))*(SUM(G97:G110)))</f>
        <v>20456.768532281032</v>
      </c>
      <c r="I661" s="19">
        <f>SUM(F661:H661)</f>
        <v>71528.679999999993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143001.41</v>
      </c>
      <c r="G662" s="19">
        <f>(L226+L306)-(J226+J306)</f>
        <v>0</v>
      </c>
      <c r="H662" s="19">
        <f>(L244+L325)-(J244+J325)</f>
        <v>95553.21</v>
      </c>
      <c r="I662" s="19">
        <f>SUM(F662:H662)</f>
        <v>238554.62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278271.41000000003</v>
      </c>
      <c r="G663" s="199">
        <f>SUM(G575:G587)+SUM(I602:I604)+L612</f>
        <v>0</v>
      </c>
      <c r="H663" s="199">
        <f>SUM(H575:H587)+SUM(J602:J604)+L613</f>
        <v>56081.39</v>
      </c>
      <c r="I663" s="19">
        <f>SUM(F663:H663)</f>
        <v>334352.80000000005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3465681.5885322811</v>
      </c>
      <c r="G664" s="19">
        <f>G660-SUM(G661:G663)</f>
        <v>0</v>
      </c>
      <c r="H664" s="19">
        <f>H660-SUM(H661:H663)</f>
        <v>2187519.6314677191</v>
      </c>
      <c r="I664" s="19">
        <f>I660-SUM(I661:I663)</f>
        <v>5653201.2200000007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207.13</v>
      </c>
      <c r="G665" s="248"/>
      <c r="H665" s="248">
        <v>111.11</v>
      </c>
      <c r="I665" s="19">
        <f>SUM(F665:H665)</f>
        <v>318.24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16731.919999999998</v>
      </c>
      <c r="G667" s="19" t="e">
        <f>ROUND(G664/G665,2)</f>
        <v>#DIV/0!</v>
      </c>
      <c r="H667" s="19">
        <f>ROUND(H664/H665,2)</f>
        <v>19687.87</v>
      </c>
      <c r="I667" s="19">
        <f>ROUND(I664/I665,2)</f>
        <v>17763.96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-1.34</v>
      </c>
      <c r="I670" s="19">
        <f>SUM(F670:H670)</f>
        <v>-1.34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16731.919999999998</v>
      </c>
      <c r="G672" s="19" t="e">
        <f>ROUND((G664+G669)/(G665+G670),2)</f>
        <v>#DIV/0!</v>
      </c>
      <c r="H672" s="19">
        <f>ROUND((H664+H669)/(H665+H670),2)</f>
        <v>19928.21</v>
      </c>
      <c r="I672" s="19">
        <f>ROUND((I664+I669)/(I665+I670),2)</f>
        <v>17839.07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zoomScale="110" zoomScaleNormal="1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Colebrook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1661298.7299999997</v>
      </c>
      <c r="C9" s="229">
        <f>'DOE25'!G197+'DOE25'!G215+'DOE25'!G233+'DOE25'!G276+'DOE25'!G295+'DOE25'!G314</f>
        <v>823397.85</v>
      </c>
    </row>
    <row r="10" spans="1:3" x14ac:dyDescent="0.2">
      <c r="A10" t="s">
        <v>773</v>
      </c>
      <c r="B10" s="240">
        <f>863291.32+674591.73+123415.68-40664.45</f>
        <v>1620634.2799999998</v>
      </c>
      <c r="C10" s="240">
        <v>819040.13</v>
      </c>
    </row>
    <row r="11" spans="1:3" x14ac:dyDescent="0.2">
      <c r="A11" t="s">
        <v>774</v>
      </c>
      <c r="B11" s="240">
        <v>13695.72</v>
      </c>
      <c r="C11" s="240">
        <v>1458.59</v>
      </c>
    </row>
    <row r="12" spans="1:3" x14ac:dyDescent="0.2">
      <c r="A12" t="s">
        <v>775</v>
      </c>
      <c r="B12" s="240">
        <v>26968.73</v>
      </c>
      <c r="C12" s="240">
        <v>2899.13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1661298.7299999997</v>
      </c>
      <c r="C13" s="231">
        <f>SUM(C10:C12)</f>
        <v>823397.85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426314.48000000004</v>
      </c>
      <c r="C18" s="229">
        <f>'DOE25'!G198+'DOE25'!G216+'DOE25'!G234+'DOE25'!G277+'DOE25'!G296+'DOE25'!G315</f>
        <v>106176.79</v>
      </c>
    </row>
    <row r="19" spans="1:3" x14ac:dyDescent="0.2">
      <c r="A19" t="s">
        <v>773</v>
      </c>
      <c r="B19" s="240">
        <f>113672.11+47281.25+1245.37+16729.02</f>
        <v>178927.74999999997</v>
      </c>
      <c r="C19" s="240">
        <v>79830.100000000006</v>
      </c>
    </row>
    <row r="20" spans="1:3" x14ac:dyDescent="0.2">
      <c r="A20" t="s">
        <v>774</v>
      </c>
      <c r="B20" s="240">
        <f>190061.9+48918.18</f>
        <v>238980.08</v>
      </c>
      <c r="C20" s="240">
        <v>25451.38</v>
      </c>
    </row>
    <row r="21" spans="1:3" x14ac:dyDescent="0.2">
      <c r="A21" t="s">
        <v>775</v>
      </c>
      <c r="B21" s="240">
        <f>7776.87+78.38+553.4-2</f>
        <v>8406.65</v>
      </c>
      <c r="C21" s="240">
        <v>895.31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426314.48</v>
      </c>
      <c r="C22" s="231">
        <f>SUM(C19:C21)</f>
        <v>106176.79000000001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103195.01</v>
      </c>
      <c r="C36" s="235">
        <f>'DOE25'!G200+'DOE25'!G218+'DOE25'!G236+'DOE25'!G279+'DOE25'!G298+'DOE25'!G317</f>
        <v>17395.61</v>
      </c>
    </row>
    <row r="37" spans="1:3" x14ac:dyDescent="0.2">
      <c r="A37" t="s">
        <v>773</v>
      </c>
      <c r="B37" s="240">
        <v>3699.51</v>
      </c>
      <c r="C37" s="240">
        <v>749.56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f>103195.01-3699.51</f>
        <v>99495.5</v>
      </c>
      <c r="C39" s="240">
        <v>16646.05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103195.01</v>
      </c>
      <c r="C40" s="231">
        <f>SUM(C37:C39)</f>
        <v>17395.61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Colebrook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3323728.5599999996</v>
      </c>
      <c r="D5" s="20">
        <f>SUM('DOE25'!L197:L200)+SUM('DOE25'!L215:L218)+SUM('DOE25'!L233:L236)-F5-G5</f>
        <v>3290261.7699999996</v>
      </c>
      <c r="E5" s="243"/>
      <c r="F5" s="255">
        <f>SUM('DOE25'!J197:J200)+SUM('DOE25'!J215:J218)+SUM('DOE25'!J233:J236)</f>
        <v>17920.89</v>
      </c>
      <c r="G5" s="53">
        <f>SUM('DOE25'!K197:K200)+SUM('DOE25'!K215:K218)+SUM('DOE25'!K233:K236)</f>
        <v>15545.900000000001</v>
      </c>
      <c r="H5" s="259"/>
    </row>
    <row r="6" spans="1:9" x14ac:dyDescent="0.2">
      <c r="A6" s="32">
        <v>2100</v>
      </c>
      <c r="B6" t="s">
        <v>795</v>
      </c>
      <c r="C6" s="245">
        <f t="shared" si="0"/>
        <v>655977.81999999995</v>
      </c>
      <c r="D6" s="20">
        <f>'DOE25'!L202+'DOE25'!L220+'DOE25'!L238-F6-G6</f>
        <v>604358.73999999987</v>
      </c>
      <c r="E6" s="243"/>
      <c r="F6" s="255">
        <f>'DOE25'!J202+'DOE25'!J220+'DOE25'!J238</f>
        <v>43726.94</v>
      </c>
      <c r="G6" s="53">
        <f>'DOE25'!K202+'DOE25'!K220+'DOE25'!K238</f>
        <v>7892.14</v>
      </c>
      <c r="H6" s="259"/>
    </row>
    <row r="7" spans="1:9" x14ac:dyDescent="0.2">
      <c r="A7" s="32">
        <v>2200</v>
      </c>
      <c r="B7" t="s">
        <v>828</v>
      </c>
      <c r="C7" s="245">
        <f t="shared" si="0"/>
        <v>128081</v>
      </c>
      <c r="D7" s="20">
        <f>'DOE25'!L203+'DOE25'!L221+'DOE25'!L239-F7-G7</f>
        <v>119568.5</v>
      </c>
      <c r="E7" s="243"/>
      <c r="F7" s="255">
        <f>'DOE25'!J203+'DOE25'!J221+'DOE25'!J239</f>
        <v>0</v>
      </c>
      <c r="G7" s="53">
        <f>'DOE25'!K203+'DOE25'!K221+'DOE25'!K239</f>
        <v>8512.5</v>
      </c>
      <c r="H7" s="259"/>
    </row>
    <row r="8" spans="1:9" x14ac:dyDescent="0.2">
      <c r="A8" s="32">
        <v>2300</v>
      </c>
      <c r="B8" t="s">
        <v>796</v>
      </c>
      <c r="C8" s="245">
        <f t="shared" si="0"/>
        <v>260410.71999999994</v>
      </c>
      <c r="D8" s="243"/>
      <c r="E8" s="20">
        <f>'DOE25'!L204+'DOE25'!L222+'DOE25'!L240-F8-G8-D9-D11</f>
        <v>253345.77999999994</v>
      </c>
      <c r="F8" s="255">
        <f>'DOE25'!J204+'DOE25'!J222+'DOE25'!J240</f>
        <v>0</v>
      </c>
      <c r="G8" s="53">
        <f>'DOE25'!K204+'DOE25'!K222+'DOE25'!K240</f>
        <v>7064.9400000000005</v>
      </c>
      <c r="H8" s="259"/>
    </row>
    <row r="9" spans="1:9" x14ac:dyDescent="0.2">
      <c r="A9" s="32">
        <v>2310</v>
      </c>
      <c r="B9" t="s">
        <v>812</v>
      </c>
      <c r="C9" s="245">
        <f t="shared" si="0"/>
        <v>47016.08</v>
      </c>
      <c r="D9" s="244">
        <v>47016.08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10900</v>
      </c>
      <c r="D10" s="243"/>
      <c r="E10" s="244">
        <v>10900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110081.60000000001</v>
      </c>
      <c r="D11" s="244">
        <v>110081.60000000001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400869.80000000005</v>
      </c>
      <c r="D12" s="20">
        <f>'DOE25'!L205+'DOE25'!L223+'DOE25'!L241-F12-G12</f>
        <v>399279.80000000005</v>
      </c>
      <c r="E12" s="243"/>
      <c r="F12" s="255">
        <f>'DOE25'!J205+'DOE25'!J223+'DOE25'!J241</f>
        <v>0</v>
      </c>
      <c r="G12" s="53">
        <f>'DOE25'!K205+'DOE25'!K223+'DOE25'!K241</f>
        <v>1590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691032.26</v>
      </c>
      <c r="D14" s="20">
        <f>'DOE25'!L207+'DOE25'!L225+'DOE25'!L243-F14-G14</f>
        <v>661654.29</v>
      </c>
      <c r="E14" s="243"/>
      <c r="F14" s="255">
        <f>'DOE25'!J207+'DOE25'!J225+'DOE25'!J243</f>
        <v>28992.47</v>
      </c>
      <c r="G14" s="53">
        <f>'DOE25'!K207+'DOE25'!K225+'DOE25'!K243</f>
        <v>385.5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238899.12</v>
      </c>
      <c r="D15" s="20">
        <f>'DOE25'!L208+'DOE25'!L226+'DOE25'!L244-F15-G15</f>
        <v>238144.12</v>
      </c>
      <c r="E15" s="243"/>
      <c r="F15" s="255">
        <f>'DOE25'!J208+'DOE25'!J226+'DOE25'!J244</f>
        <v>747.5</v>
      </c>
      <c r="G15" s="53">
        <f>'DOE25'!K208+'DOE25'!K226+'DOE25'!K244</f>
        <v>7.5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183501.41</v>
      </c>
      <c r="D29" s="20">
        <f>'DOE25'!L358+'DOE25'!L359+'DOE25'!L360-'DOE25'!I367-F29-G29</f>
        <v>183501.41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258038.94999999995</v>
      </c>
      <c r="D31" s="20">
        <f>'DOE25'!L290+'DOE25'!L309+'DOE25'!L328+'DOE25'!L333+'DOE25'!L334+'DOE25'!L335-F31-G31</f>
        <v>225447.21999999997</v>
      </c>
      <c r="E31" s="243"/>
      <c r="F31" s="255">
        <f>'DOE25'!J290+'DOE25'!J309+'DOE25'!J328+'DOE25'!J333+'DOE25'!J334+'DOE25'!J335</f>
        <v>14346.34</v>
      </c>
      <c r="G31" s="53">
        <f>'DOE25'!K290+'DOE25'!K309+'DOE25'!K328+'DOE25'!K333+'DOE25'!K334+'DOE25'!K335</f>
        <v>18245.39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5879313.5299999993</v>
      </c>
      <c r="E33" s="246">
        <f>SUM(E5:E31)</f>
        <v>264245.77999999991</v>
      </c>
      <c r="F33" s="246">
        <f>SUM(F5:F31)</f>
        <v>105734.14</v>
      </c>
      <c r="G33" s="246">
        <f>SUM(G5:G31)</f>
        <v>59243.87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264245.77999999991</v>
      </c>
      <c r="E35" s="249"/>
    </row>
    <row r="36" spans="2:8" ht="12" thickTop="1" x14ac:dyDescent="0.2">
      <c r="B36" t="s">
        <v>809</v>
      </c>
      <c r="D36" s="20">
        <f>D33</f>
        <v>5879313.5299999993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Colebrook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679191.1</v>
      </c>
      <c r="D8" s="95">
        <f>'DOE25'!G9</f>
        <v>24191.75</v>
      </c>
      <c r="E8" s="95">
        <f>'DOE25'!H9</f>
        <v>0</v>
      </c>
      <c r="F8" s="95">
        <f>'DOE25'!I9</f>
        <v>0</v>
      </c>
      <c r="G8" s="95">
        <f>'DOE25'!J9</f>
        <v>624087.72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56470.13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44979.62</v>
      </c>
      <c r="D12" s="95">
        <f>'DOE25'!G13</f>
        <v>4775.3999999999996</v>
      </c>
      <c r="E12" s="95">
        <f>'DOE25'!H13</f>
        <v>61110.400000000001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160.38999999999999</v>
      </c>
      <c r="D13" s="95">
        <f>'DOE25'!G14</f>
        <v>640.70000000000005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5170.3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780801.24</v>
      </c>
      <c r="D18" s="41">
        <f>SUM(D8:D17)</f>
        <v>34778.15</v>
      </c>
      <c r="E18" s="41">
        <f>SUM(E8:E17)</f>
        <v>61110.400000000001</v>
      </c>
      <c r="F18" s="41">
        <f>SUM(F8:F17)</f>
        <v>0</v>
      </c>
      <c r="G18" s="41">
        <f>SUM(G8:G17)</f>
        <v>624087.72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56470.13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112993.01</v>
      </c>
      <c r="D23" s="95">
        <f>'DOE25'!G24</f>
        <v>13677.83</v>
      </c>
      <c r="E23" s="95">
        <f>'DOE25'!H24</f>
        <v>792.17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31583.919999999998</v>
      </c>
      <c r="D27" s="95">
        <f>'DOE25'!G28</f>
        <v>0</v>
      </c>
      <c r="E27" s="95">
        <f>'DOE25'!H28</f>
        <v>486.25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10251.56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323.13</v>
      </c>
      <c r="E29" s="95">
        <f>'DOE25'!H30</f>
        <v>3361.85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154828.49</v>
      </c>
      <c r="D31" s="41">
        <f>SUM(D21:D30)</f>
        <v>14000.96</v>
      </c>
      <c r="E31" s="41">
        <f>SUM(E21:E30)</f>
        <v>61110.399999999994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5170.3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25000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1682.71</v>
      </c>
      <c r="D47" s="95">
        <f>'DOE25'!G48</f>
        <v>15606.890000000014</v>
      </c>
      <c r="E47" s="95">
        <f>'DOE25'!H48</f>
        <v>0</v>
      </c>
      <c r="F47" s="95">
        <f>'DOE25'!I48</f>
        <v>0</v>
      </c>
      <c r="G47" s="95">
        <f>'DOE25'!J48</f>
        <v>599087.72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624290.04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625972.75</v>
      </c>
      <c r="D50" s="41">
        <f>SUM(D34:D49)</f>
        <v>20777.190000000013</v>
      </c>
      <c r="E50" s="41">
        <f>SUM(E34:E49)</f>
        <v>0</v>
      </c>
      <c r="F50" s="41">
        <f>SUM(F34:F49)</f>
        <v>0</v>
      </c>
      <c r="G50" s="41">
        <f>SUM(G34:G49)</f>
        <v>624087.72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780801.24</v>
      </c>
      <c r="D51" s="41">
        <f>D50+D31</f>
        <v>34778.150000000009</v>
      </c>
      <c r="E51" s="41">
        <f>E50+E31</f>
        <v>61110.399999999994</v>
      </c>
      <c r="F51" s="41">
        <f>F50+F31</f>
        <v>0</v>
      </c>
      <c r="G51" s="41">
        <f>G50+G31</f>
        <v>624087.72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2355022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1433104.0899999999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54.56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71528.679999999993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184698.13</v>
      </c>
      <c r="D61" s="95">
        <f>SUM('DOE25'!G98:G110)</f>
        <v>0</v>
      </c>
      <c r="E61" s="95">
        <f>SUM('DOE25'!H98:H110)</f>
        <v>16264.36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1617856.7799999998</v>
      </c>
      <c r="D62" s="130">
        <f>SUM(D57:D61)</f>
        <v>71528.679999999993</v>
      </c>
      <c r="E62" s="130">
        <f>SUM(E57:E61)</f>
        <v>16264.36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3972878.78</v>
      </c>
      <c r="D63" s="22">
        <f>D56+D62</f>
        <v>71528.679999999993</v>
      </c>
      <c r="E63" s="22">
        <f>E56+E62</f>
        <v>16264.36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1748832.93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350111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4180.62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2103124.5499999998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1488.58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2525.54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2525.54</v>
      </c>
      <c r="E78" s="130">
        <f>SUM(E72:E77)</f>
        <v>1488.58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2103124.5499999998</v>
      </c>
      <c r="D81" s="130">
        <f>SUM(D79:D80)+D78+D70</f>
        <v>2525.54</v>
      </c>
      <c r="E81" s="130">
        <f>SUM(E79:E80)+E78+E70</f>
        <v>1488.58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381.38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7839.36</v>
      </c>
      <c r="D88" s="95">
        <f>SUM('DOE25'!G153:G161)</f>
        <v>78401.100000000006</v>
      </c>
      <c r="E88" s="95">
        <f>SUM('DOE25'!H153:H161)</f>
        <v>239904.63000000003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7839.36</v>
      </c>
      <c r="D91" s="131">
        <f>SUM(D85:D90)</f>
        <v>78401.100000000006</v>
      </c>
      <c r="E91" s="131">
        <f>SUM(E85:E90)</f>
        <v>240286.01000000004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25000</v>
      </c>
      <c r="E96" s="95">
        <f>'DOE25'!H179</f>
        <v>0</v>
      </c>
      <c r="F96" s="95">
        <f>'DOE25'!I179</f>
        <v>0</v>
      </c>
      <c r="G96" s="95">
        <f>'DOE25'!J179</f>
        <v>87000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25000</v>
      </c>
      <c r="E103" s="86">
        <f>SUM(E93:E102)</f>
        <v>0</v>
      </c>
      <c r="F103" s="86">
        <f>SUM(F93:F102)</f>
        <v>0</v>
      </c>
      <c r="G103" s="86">
        <f>SUM(G93:G102)</f>
        <v>87000</v>
      </c>
    </row>
    <row r="104" spans="1:7" ht="12.75" thickTop="1" thickBot="1" x14ac:dyDescent="0.25">
      <c r="A104" s="33" t="s">
        <v>759</v>
      </c>
      <c r="C104" s="86">
        <f>C63+C81+C91+C103</f>
        <v>6083842.6900000004</v>
      </c>
      <c r="D104" s="86">
        <f>D63+D81+D91+D103</f>
        <v>177455.32</v>
      </c>
      <c r="E104" s="86">
        <f>E63+E81+E91+E103</f>
        <v>258038.95000000004</v>
      </c>
      <c r="F104" s="86">
        <f>F63+F81+F91+F103</f>
        <v>0</v>
      </c>
      <c r="G104" s="86">
        <f>G63+G81+G103</f>
        <v>87000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2445407.33</v>
      </c>
      <c r="D109" s="24" t="s">
        <v>286</v>
      </c>
      <c r="E109" s="95">
        <f>('DOE25'!L276)+('DOE25'!L295)+('DOE25'!L314)</f>
        <v>171133.05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722438.1</v>
      </c>
      <c r="D110" s="24" t="s">
        <v>286</v>
      </c>
      <c r="E110" s="95">
        <f>('DOE25'!L277)+('DOE25'!L296)+('DOE25'!L315)</f>
        <v>27625.77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17500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138383.13</v>
      </c>
      <c r="D112" s="24" t="s">
        <v>286</v>
      </c>
      <c r="E112" s="95">
        <f>+('DOE25'!L279)+('DOE25'!L298)+('DOE25'!L317)</f>
        <v>8734.65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3323728.56</v>
      </c>
      <c r="D115" s="86">
        <f>SUM(D109:D114)</f>
        <v>0</v>
      </c>
      <c r="E115" s="86">
        <f>SUM(E109:E114)</f>
        <v>207493.46999999997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655977.81999999995</v>
      </c>
      <c r="D118" s="24" t="s">
        <v>286</v>
      </c>
      <c r="E118" s="95">
        <f>+('DOE25'!L281)+('DOE25'!L300)+('DOE25'!L319)</f>
        <v>18366.650000000001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128081</v>
      </c>
      <c r="D119" s="24" t="s">
        <v>286</v>
      </c>
      <c r="E119" s="95">
        <f>+('DOE25'!L282)+('DOE25'!L301)+('DOE25'!L320)</f>
        <v>26955.989999999998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417508.39999999997</v>
      </c>
      <c r="D120" s="24" t="s">
        <v>286</v>
      </c>
      <c r="E120" s="95">
        <f>+('DOE25'!L283)+('DOE25'!L302)+('DOE25'!L321)</f>
        <v>4819.84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400869.80000000005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691032.26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238899.12</v>
      </c>
      <c r="D124" s="24" t="s">
        <v>286</v>
      </c>
      <c r="E124" s="95">
        <f>+('DOE25'!L287)+('DOE25'!L306)+('DOE25'!L325)</f>
        <v>403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183501.41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2532368.4000000004</v>
      </c>
      <c r="D128" s="86">
        <f>SUM(D118:D127)</f>
        <v>183501.41</v>
      </c>
      <c r="E128" s="86">
        <f>SUM(E118:E127)</f>
        <v>50545.479999999996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87000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23836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135836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5991932.9600000009</v>
      </c>
      <c r="D145" s="86">
        <f>(D115+D128+D144)</f>
        <v>183501.41</v>
      </c>
      <c r="E145" s="86">
        <f>(E115+E128+E144)</f>
        <v>258038.94999999995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Colebrook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16732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19928</v>
      </c>
    </row>
    <row r="7" spans="1:4" x14ac:dyDescent="0.2">
      <c r="B7" t="s">
        <v>699</v>
      </c>
      <c r="C7" s="179">
        <f>IF('DOE25'!I665+'DOE25'!I670=0,0,ROUND('DOE25'!I672,0))</f>
        <v>17839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2616540</v>
      </c>
      <c r="D10" s="182">
        <f>ROUND((C10/$C$28)*100,1)</f>
        <v>41.9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750064</v>
      </c>
      <c r="D11" s="182">
        <f>ROUND((C11/$C$28)*100,1)</f>
        <v>12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17500</v>
      </c>
      <c r="D12" s="182">
        <f>ROUND((C12/$C$28)*100,1)</f>
        <v>0.3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147118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674344</v>
      </c>
      <c r="D15" s="182">
        <f t="shared" ref="D15:D27" si="0">ROUND((C15/$C$28)*100,1)</f>
        <v>10.8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155037</v>
      </c>
      <c r="D16" s="182">
        <f t="shared" si="0"/>
        <v>2.5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422328</v>
      </c>
      <c r="D17" s="182">
        <f t="shared" si="0"/>
        <v>6.8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400870</v>
      </c>
      <c r="D18" s="182">
        <f t="shared" si="0"/>
        <v>6.4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691032</v>
      </c>
      <c r="D20" s="182">
        <f t="shared" si="0"/>
        <v>11.1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239302</v>
      </c>
      <c r="D21" s="182">
        <f t="shared" si="0"/>
        <v>3.8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23836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111972.32</v>
      </c>
      <c r="D27" s="182">
        <f t="shared" si="0"/>
        <v>1.8</v>
      </c>
    </row>
    <row r="28" spans="1:4" x14ac:dyDescent="0.2">
      <c r="B28" s="187" t="s">
        <v>717</v>
      </c>
      <c r="C28" s="180">
        <f>SUM(C10:C27)</f>
        <v>6249943.3200000003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6249943.3200000003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2355022</v>
      </c>
      <c r="D35" s="182">
        <f t="shared" ref="D35:D40" si="1">ROUND((C35/$C$41)*100,1)</f>
        <v>36.700000000000003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1634121.1399999997</v>
      </c>
      <c r="D36" s="182">
        <f t="shared" si="1"/>
        <v>25.4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2098944</v>
      </c>
      <c r="D37" s="182">
        <f t="shared" si="1"/>
        <v>32.700000000000003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8195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326526</v>
      </c>
      <c r="D39" s="182">
        <f t="shared" si="1"/>
        <v>5.0999999999999996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6422808.1399999997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3" sqref="C53:M5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Colebrook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2018-10-05T18:26:01Z</cp:lastPrinted>
  <dcterms:created xsi:type="dcterms:W3CDTF">1997-12-04T19:04:30Z</dcterms:created>
  <dcterms:modified xsi:type="dcterms:W3CDTF">2018-12-03T18:36:09Z</dcterms:modified>
</cp:coreProperties>
</file>