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1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0" i="1" l="1"/>
  <c r="F93" i="1"/>
  <c r="D11" i="13" l="1"/>
  <c r="J179" i="1" l="1"/>
  <c r="J597" i="1"/>
  <c r="J596" i="1"/>
  <c r="J595" i="1"/>
  <c r="J594" i="1"/>
  <c r="J593" i="1"/>
  <c r="J592" i="1"/>
  <c r="J591" i="1"/>
  <c r="I597" i="1"/>
  <c r="I596" i="1"/>
  <c r="I595" i="1"/>
  <c r="I594" i="1"/>
  <c r="I593" i="1"/>
  <c r="I592" i="1"/>
  <c r="I591" i="1"/>
  <c r="H597" i="1"/>
  <c r="H596" i="1"/>
  <c r="H595" i="1"/>
  <c r="H594" i="1"/>
  <c r="H593" i="1"/>
  <c r="H591" i="1"/>
  <c r="H592" i="1"/>
  <c r="G533" i="1"/>
  <c r="F533" i="1"/>
  <c r="G532" i="1"/>
  <c r="F532" i="1"/>
  <c r="G531" i="1"/>
  <c r="F531" i="1"/>
  <c r="K543" i="1"/>
  <c r="H543" i="1"/>
  <c r="G543" i="1"/>
  <c r="F543" i="1"/>
  <c r="K542" i="1"/>
  <c r="H542" i="1"/>
  <c r="G542" i="1"/>
  <c r="F542" i="1"/>
  <c r="K541" i="1"/>
  <c r="H541" i="1"/>
  <c r="G541" i="1"/>
  <c r="F541" i="1"/>
  <c r="J528" i="1"/>
  <c r="K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H538" i="1"/>
  <c r="H537" i="1"/>
  <c r="H536" i="1"/>
  <c r="K523" i="1"/>
  <c r="J523" i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F279" i="1"/>
  <c r="H325" i="1"/>
  <c r="I321" i="1"/>
  <c r="H321" i="1"/>
  <c r="G321" i="1"/>
  <c r="F321" i="1"/>
  <c r="I302" i="1"/>
  <c r="H302" i="1"/>
  <c r="G302" i="1"/>
  <c r="F302" i="1"/>
  <c r="I283" i="1"/>
  <c r="H283" i="1"/>
  <c r="G283" i="1"/>
  <c r="F283" i="1"/>
  <c r="J320" i="1"/>
  <c r="I320" i="1"/>
  <c r="H320" i="1"/>
  <c r="G320" i="1"/>
  <c r="F320" i="1"/>
  <c r="J301" i="1"/>
  <c r="I301" i="1"/>
  <c r="H301" i="1"/>
  <c r="G301" i="1"/>
  <c r="F301" i="1"/>
  <c r="J282" i="1"/>
  <c r="I282" i="1"/>
  <c r="H282" i="1"/>
  <c r="G282" i="1"/>
  <c r="F282" i="1"/>
  <c r="G319" i="1"/>
  <c r="F319" i="1"/>
  <c r="G300" i="1"/>
  <c r="F300" i="1"/>
  <c r="G281" i="1"/>
  <c r="F281" i="1"/>
  <c r="I317" i="1"/>
  <c r="G317" i="1"/>
  <c r="F317" i="1"/>
  <c r="I298" i="1"/>
  <c r="G298" i="1"/>
  <c r="F298" i="1"/>
  <c r="I279" i="1"/>
  <c r="G279" i="1"/>
  <c r="I315" i="1"/>
  <c r="I296" i="1"/>
  <c r="I277" i="1"/>
  <c r="I314" i="1"/>
  <c r="G314" i="1"/>
  <c r="F314" i="1"/>
  <c r="I295" i="1"/>
  <c r="G295" i="1"/>
  <c r="F295" i="1"/>
  <c r="I276" i="1"/>
  <c r="G276" i="1"/>
  <c r="F276" i="1"/>
  <c r="H368" i="1"/>
  <c r="G368" i="1"/>
  <c r="F368" i="1"/>
  <c r="H367" i="1"/>
  <c r="G367" i="1"/>
  <c r="F367" i="1"/>
  <c r="I360" i="1"/>
  <c r="I359" i="1"/>
  <c r="I358" i="1"/>
  <c r="H380" i="1"/>
  <c r="J380" i="1"/>
  <c r="H379" i="1"/>
  <c r="I379" i="1"/>
  <c r="G380" i="1"/>
  <c r="F380" i="1"/>
  <c r="I380" i="1"/>
  <c r="H582" i="1"/>
  <c r="G582" i="1"/>
  <c r="F582" i="1"/>
  <c r="H579" i="1"/>
  <c r="F579" i="1"/>
  <c r="I564" i="1"/>
  <c r="H564" i="1"/>
  <c r="G564" i="1"/>
  <c r="F564" i="1"/>
  <c r="H563" i="1"/>
  <c r="G563" i="1"/>
  <c r="I562" i="1"/>
  <c r="H562" i="1"/>
  <c r="F562" i="1"/>
  <c r="F502" i="1"/>
  <c r="F499" i="1"/>
  <c r="J472" i="1"/>
  <c r="K426" i="1"/>
  <c r="I400" i="1"/>
  <c r="H400" i="1"/>
  <c r="G400" i="1"/>
  <c r="J358" i="1" l="1"/>
  <c r="K360" i="1"/>
  <c r="H360" i="1"/>
  <c r="G360" i="1"/>
  <c r="F360" i="1"/>
  <c r="K359" i="1"/>
  <c r="H359" i="1"/>
  <c r="G359" i="1"/>
  <c r="F359" i="1"/>
  <c r="K358" i="1"/>
  <c r="H358" i="1"/>
  <c r="G358" i="1"/>
  <c r="F358" i="1"/>
  <c r="G243" i="1"/>
  <c r="G225" i="1"/>
  <c r="G207" i="1"/>
  <c r="G242" i="1"/>
  <c r="G241" i="1"/>
  <c r="G223" i="1"/>
  <c r="G205" i="1"/>
  <c r="G239" i="1"/>
  <c r="G221" i="1"/>
  <c r="G203" i="1"/>
  <c r="G238" i="1"/>
  <c r="G220" i="1"/>
  <c r="G202" i="1"/>
  <c r="G251" i="1"/>
  <c r="G236" i="1"/>
  <c r="G218" i="1"/>
  <c r="G200" i="1"/>
  <c r="G235" i="1"/>
  <c r="G216" i="1"/>
  <c r="G198" i="1"/>
  <c r="G233" i="1"/>
  <c r="G215" i="1"/>
  <c r="G197" i="1"/>
  <c r="F233" i="1"/>
  <c r="F215" i="1"/>
  <c r="F197" i="1"/>
  <c r="K222" i="1"/>
  <c r="I333" i="1"/>
  <c r="H322" i="1"/>
  <c r="G322" i="1"/>
  <c r="F322" i="1"/>
  <c r="J333" i="1"/>
  <c r="H333" i="1"/>
  <c r="G333" i="1"/>
  <c r="F333" i="1"/>
  <c r="H319" i="1"/>
  <c r="H316" i="1"/>
  <c r="J336" i="1"/>
  <c r="H336" i="1"/>
  <c r="I319" i="1"/>
  <c r="K317" i="1"/>
  <c r="K316" i="1"/>
  <c r="J316" i="1"/>
  <c r="I316" i="1"/>
  <c r="G316" i="1"/>
  <c r="F316" i="1"/>
  <c r="G315" i="1"/>
  <c r="F315" i="1"/>
  <c r="J314" i="1"/>
  <c r="H314" i="1"/>
  <c r="K298" i="1"/>
  <c r="J298" i="1"/>
  <c r="H298" i="1"/>
  <c r="G296" i="1"/>
  <c r="F296" i="1"/>
  <c r="J295" i="1"/>
  <c r="H287" i="1"/>
  <c r="J281" i="1"/>
  <c r="I281" i="1"/>
  <c r="H281" i="1"/>
  <c r="K279" i="1"/>
  <c r="J279" i="1"/>
  <c r="H279" i="1"/>
  <c r="F277" i="1"/>
  <c r="G277" i="1"/>
  <c r="J276" i="1"/>
  <c r="H276" i="1"/>
  <c r="K268" i="1" l="1"/>
  <c r="K266" i="1"/>
  <c r="K263" i="1"/>
  <c r="K261" i="1"/>
  <c r="K260" i="1"/>
  <c r="I245" i="1"/>
  <c r="H245" i="1"/>
  <c r="G245" i="1"/>
  <c r="F245" i="1"/>
  <c r="I227" i="1"/>
  <c r="H227" i="1"/>
  <c r="G227" i="1"/>
  <c r="F227" i="1"/>
  <c r="I209" i="1"/>
  <c r="H209" i="1"/>
  <c r="G209" i="1"/>
  <c r="F209" i="1"/>
  <c r="K244" i="1"/>
  <c r="J244" i="1"/>
  <c r="I244" i="1"/>
  <c r="H244" i="1"/>
  <c r="G244" i="1"/>
  <c r="F244" i="1"/>
  <c r="K226" i="1"/>
  <c r="J226" i="1"/>
  <c r="I226" i="1"/>
  <c r="H226" i="1"/>
  <c r="G226" i="1"/>
  <c r="F226" i="1"/>
  <c r="K208" i="1"/>
  <c r="J208" i="1"/>
  <c r="I208" i="1"/>
  <c r="H208" i="1"/>
  <c r="G208" i="1"/>
  <c r="F208" i="1"/>
  <c r="K243" i="1"/>
  <c r="J243" i="1"/>
  <c r="I243" i="1"/>
  <c r="H243" i="1"/>
  <c r="F243" i="1"/>
  <c r="K225" i="1"/>
  <c r="J225" i="1"/>
  <c r="I225" i="1"/>
  <c r="H225" i="1"/>
  <c r="F225" i="1"/>
  <c r="K207" i="1"/>
  <c r="J207" i="1"/>
  <c r="I207" i="1"/>
  <c r="H207" i="1"/>
  <c r="F207" i="1"/>
  <c r="K242" i="1"/>
  <c r="J242" i="1"/>
  <c r="I242" i="1"/>
  <c r="H242" i="1"/>
  <c r="F242" i="1"/>
  <c r="K224" i="1"/>
  <c r="J224" i="1"/>
  <c r="I224" i="1"/>
  <c r="H224" i="1"/>
  <c r="G224" i="1"/>
  <c r="F224" i="1"/>
  <c r="K206" i="1"/>
  <c r="J206" i="1"/>
  <c r="I206" i="1"/>
  <c r="H206" i="1"/>
  <c r="G206" i="1"/>
  <c r="F206" i="1"/>
  <c r="K240" i="1"/>
  <c r="J240" i="1"/>
  <c r="I240" i="1"/>
  <c r="H240" i="1"/>
  <c r="G240" i="1"/>
  <c r="F240" i="1"/>
  <c r="J222" i="1"/>
  <c r="I222" i="1"/>
  <c r="H222" i="1"/>
  <c r="G222" i="1"/>
  <c r="F222" i="1"/>
  <c r="I204" i="1"/>
  <c r="K204" i="1"/>
  <c r="J204" i="1"/>
  <c r="H204" i="1"/>
  <c r="G204" i="1"/>
  <c r="F204" i="1"/>
  <c r="K239" i="1"/>
  <c r="J239" i="1"/>
  <c r="I239" i="1"/>
  <c r="H239" i="1"/>
  <c r="F239" i="1"/>
  <c r="K221" i="1"/>
  <c r="J221" i="1"/>
  <c r="I221" i="1"/>
  <c r="H221" i="1"/>
  <c r="F221" i="1"/>
  <c r="K203" i="1"/>
  <c r="J203" i="1"/>
  <c r="I203" i="1"/>
  <c r="H203" i="1"/>
  <c r="F203" i="1"/>
  <c r="K238" i="1"/>
  <c r="J238" i="1"/>
  <c r="I238" i="1"/>
  <c r="H238" i="1"/>
  <c r="F238" i="1"/>
  <c r="K220" i="1"/>
  <c r="J220" i="1"/>
  <c r="I220" i="1"/>
  <c r="H220" i="1"/>
  <c r="F220" i="1"/>
  <c r="K202" i="1"/>
  <c r="J202" i="1"/>
  <c r="I202" i="1"/>
  <c r="H202" i="1"/>
  <c r="F202" i="1"/>
  <c r="F236" i="1"/>
  <c r="F218" i="1"/>
  <c r="F200" i="1"/>
  <c r="J234" i="1"/>
  <c r="I234" i="1"/>
  <c r="H234" i="1"/>
  <c r="G234" i="1"/>
  <c r="F234" i="1"/>
  <c r="I216" i="1"/>
  <c r="J216" i="1"/>
  <c r="H216" i="1"/>
  <c r="F216" i="1"/>
  <c r="J198" i="1"/>
  <c r="I198" i="1"/>
  <c r="H198" i="1"/>
  <c r="F198" i="1"/>
  <c r="K233" i="1"/>
  <c r="H233" i="1"/>
  <c r="K215" i="1"/>
  <c r="H215" i="1"/>
  <c r="K197" i="1"/>
  <c r="H197" i="1"/>
  <c r="F255" i="1" l="1"/>
  <c r="K251" i="1"/>
  <c r="I251" i="1"/>
  <c r="H251" i="1"/>
  <c r="F251" i="1"/>
  <c r="I255" i="1"/>
  <c r="H255" i="1"/>
  <c r="K241" i="1"/>
  <c r="J241" i="1"/>
  <c r="I241" i="1"/>
  <c r="H241" i="1"/>
  <c r="F241" i="1"/>
  <c r="K236" i="1"/>
  <c r="J236" i="1"/>
  <c r="I236" i="1"/>
  <c r="H236" i="1"/>
  <c r="J235" i="1"/>
  <c r="I235" i="1"/>
  <c r="H235" i="1"/>
  <c r="F235" i="1"/>
  <c r="K234" i="1"/>
  <c r="J233" i="1"/>
  <c r="I233" i="1"/>
  <c r="K223" i="1" l="1"/>
  <c r="I223" i="1"/>
  <c r="H223" i="1"/>
  <c r="F223" i="1"/>
  <c r="K218" i="1"/>
  <c r="J218" i="1"/>
  <c r="I218" i="1"/>
  <c r="H218" i="1"/>
  <c r="J215" i="1"/>
  <c r="I215" i="1"/>
  <c r="K205" i="1"/>
  <c r="I205" i="1"/>
  <c r="H205" i="1"/>
  <c r="F205" i="1"/>
  <c r="H200" i="1"/>
  <c r="J197" i="1"/>
  <c r="I197" i="1"/>
  <c r="J468" i="1"/>
  <c r="J102" i="1"/>
  <c r="J96" i="1"/>
  <c r="I468" i="1"/>
  <c r="I186" i="1"/>
  <c r="I96" i="1"/>
  <c r="H186" i="1"/>
  <c r="H161" i="1"/>
  <c r="H159" i="1"/>
  <c r="H156" i="1"/>
  <c r="H155" i="1"/>
  <c r="H154" i="1"/>
  <c r="H135" i="1"/>
  <c r="G468" i="1"/>
  <c r="G158" i="1"/>
  <c r="G132" i="1"/>
  <c r="G110" i="1"/>
  <c r="G97" i="1"/>
  <c r="G96" i="1"/>
  <c r="F83" i="1" l="1"/>
  <c r="F181" i="1"/>
  <c r="F161" i="1"/>
  <c r="F160" i="1"/>
  <c r="F127" i="1"/>
  <c r="F118" i="1"/>
  <c r="F110" i="1"/>
  <c r="F109" i="1"/>
  <c r="F101" i="1"/>
  <c r="F98" i="1"/>
  <c r="F96" i="1"/>
  <c r="F86" i="1"/>
  <c r="F70" i="1"/>
  <c r="F68" i="1"/>
  <c r="F69" i="1"/>
  <c r="F63" i="1"/>
  <c r="G459" i="1"/>
  <c r="G448" i="1"/>
  <c r="G441" i="1"/>
  <c r="G440" i="1"/>
  <c r="I48" i="1"/>
  <c r="I45" i="1"/>
  <c r="H48" i="1"/>
  <c r="H4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27" i="12"/>
  <c r="C27" i="12"/>
  <c r="B9" i="12"/>
  <c r="C9" i="12"/>
  <c r="B18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C85" i="2" s="1"/>
  <c r="F162" i="1"/>
  <c r="G147" i="1"/>
  <c r="G162" i="1"/>
  <c r="H147" i="1"/>
  <c r="E85" i="2" s="1"/>
  <c r="H162" i="1"/>
  <c r="I147" i="1"/>
  <c r="I162" i="1"/>
  <c r="I169" i="1" s="1"/>
  <c r="L250" i="1"/>
  <c r="L332" i="1"/>
  <c r="L254" i="1"/>
  <c r="L268" i="1"/>
  <c r="C142" i="2" s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H644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F460" i="1"/>
  <c r="G460" i="1"/>
  <c r="H460" i="1"/>
  <c r="G461" i="1"/>
  <c r="H640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G644" i="1"/>
  <c r="G650" i="1"/>
  <c r="G652" i="1"/>
  <c r="H652" i="1"/>
  <c r="G653" i="1"/>
  <c r="H653" i="1"/>
  <c r="G654" i="1"/>
  <c r="H654" i="1"/>
  <c r="H655" i="1"/>
  <c r="C91" i="2"/>
  <c r="J476" i="1"/>
  <c r="H626" i="1" s="1"/>
  <c r="I408" i="1" l="1"/>
  <c r="G156" i="2"/>
  <c r="D91" i="2"/>
  <c r="E122" i="2"/>
  <c r="C26" i="10"/>
  <c r="L570" i="1"/>
  <c r="H571" i="1"/>
  <c r="D62" i="2"/>
  <c r="D63" i="2" s="1"/>
  <c r="J644" i="1"/>
  <c r="L382" i="1"/>
  <c r="G636" i="1" s="1"/>
  <c r="J636" i="1" s="1"/>
  <c r="G192" i="1"/>
  <c r="G157" i="2"/>
  <c r="C20" i="12"/>
  <c r="C19" i="12"/>
  <c r="B21" i="12"/>
  <c r="C11" i="12"/>
  <c r="B12" i="12"/>
  <c r="C10" i="12"/>
  <c r="C29" i="12"/>
  <c r="C28" i="12"/>
  <c r="B30" i="12"/>
  <c r="C38" i="12"/>
  <c r="C37" i="12"/>
  <c r="B39" i="12"/>
  <c r="K605" i="1"/>
  <c r="G648" i="1" s="1"/>
  <c r="J571" i="1"/>
  <c r="F461" i="1"/>
  <c r="H639" i="1" s="1"/>
  <c r="J639" i="1" s="1"/>
  <c r="H52" i="1"/>
  <c r="H619" i="1" s="1"/>
  <c r="G662" i="1"/>
  <c r="H552" i="1"/>
  <c r="K550" i="1"/>
  <c r="E120" i="2"/>
  <c r="E119" i="2"/>
  <c r="I369" i="1"/>
  <c r="H634" i="1" s="1"/>
  <c r="F130" i="2"/>
  <c r="F144" i="2" s="1"/>
  <c r="F145" i="2" s="1"/>
  <c r="F571" i="1"/>
  <c r="L565" i="1"/>
  <c r="K352" i="1"/>
  <c r="L433" i="1"/>
  <c r="G476" i="1"/>
  <c r="H623" i="1" s="1"/>
  <c r="J623" i="1" s="1"/>
  <c r="D29" i="13"/>
  <c r="C29" i="13" s="1"/>
  <c r="J634" i="1"/>
  <c r="G661" i="1"/>
  <c r="L362" i="1"/>
  <c r="G635" i="1" s="1"/>
  <c r="J635" i="1" s="1"/>
  <c r="H661" i="1"/>
  <c r="F22" i="13"/>
  <c r="C22" i="13" s="1"/>
  <c r="H662" i="1"/>
  <c r="L328" i="1"/>
  <c r="C11" i="10"/>
  <c r="H338" i="1"/>
  <c r="H352" i="1" s="1"/>
  <c r="F338" i="1"/>
  <c r="F352" i="1" s="1"/>
  <c r="H476" i="1"/>
  <c r="H624" i="1" s="1"/>
  <c r="C125" i="2"/>
  <c r="G651" i="1"/>
  <c r="J651" i="1" s="1"/>
  <c r="C20" i="10"/>
  <c r="C122" i="2"/>
  <c r="E8" i="13"/>
  <c r="C8" i="13" s="1"/>
  <c r="F476" i="1"/>
  <c r="H622" i="1" s="1"/>
  <c r="J622" i="1" s="1"/>
  <c r="C119" i="2"/>
  <c r="I257" i="1"/>
  <c r="I271" i="1" s="1"/>
  <c r="G257" i="1"/>
  <c r="G271" i="1" s="1"/>
  <c r="H257" i="1"/>
  <c r="H271" i="1" s="1"/>
  <c r="C121" i="2"/>
  <c r="D5" i="13"/>
  <c r="C5" i="13" s="1"/>
  <c r="F257" i="1"/>
  <c r="F271" i="1" s="1"/>
  <c r="G645" i="1"/>
  <c r="J645" i="1" s="1"/>
  <c r="G62" i="2"/>
  <c r="G63" i="2" s="1"/>
  <c r="E78" i="2"/>
  <c r="E81" i="2" s="1"/>
  <c r="F192" i="1"/>
  <c r="G624" i="1"/>
  <c r="J624" i="1" s="1"/>
  <c r="D18" i="2"/>
  <c r="J617" i="1"/>
  <c r="H545" i="1"/>
  <c r="J545" i="1"/>
  <c r="J257" i="1"/>
  <c r="J271" i="1" s="1"/>
  <c r="F78" i="2"/>
  <c r="F81" i="2" s="1"/>
  <c r="D31" i="2"/>
  <c r="D51" i="2" s="1"/>
  <c r="E31" i="2"/>
  <c r="E62" i="2"/>
  <c r="E63" i="2" s="1"/>
  <c r="L309" i="1"/>
  <c r="E118" i="2"/>
  <c r="L290" i="1"/>
  <c r="L539" i="1"/>
  <c r="I476" i="1"/>
  <c r="H625" i="1" s="1"/>
  <c r="E109" i="2"/>
  <c r="E103" i="2"/>
  <c r="H169" i="1"/>
  <c r="L401" i="1"/>
  <c r="C139" i="2" s="1"/>
  <c r="D7" i="13"/>
  <c r="C7" i="13" s="1"/>
  <c r="C110" i="2"/>
  <c r="E16" i="13"/>
  <c r="C16" i="13" s="1"/>
  <c r="G338" i="1"/>
  <c r="G352" i="1" s="1"/>
  <c r="L256" i="1"/>
  <c r="K545" i="1"/>
  <c r="G545" i="1"/>
  <c r="I545" i="1"/>
  <c r="K503" i="1"/>
  <c r="J640" i="1"/>
  <c r="D81" i="2"/>
  <c r="I552" i="1"/>
  <c r="J641" i="1"/>
  <c r="F18" i="2"/>
  <c r="C35" i="10"/>
  <c r="C56" i="2"/>
  <c r="C21" i="10"/>
  <c r="H647" i="1"/>
  <c r="F662" i="1"/>
  <c r="C124" i="2"/>
  <c r="G649" i="1"/>
  <c r="J649" i="1" s="1"/>
  <c r="D15" i="13"/>
  <c r="C15" i="13" s="1"/>
  <c r="C118" i="2"/>
  <c r="D6" i="13"/>
  <c r="C6" i="13" s="1"/>
  <c r="C12" i="10"/>
  <c r="C111" i="2"/>
  <c r="F112" i="1"/>
  <c r="D12" i="13"/>
  <c r="C12" i="13" s="1"/>
  <c r="L427" i="1"/>
  <c r="C114" i="2"/>
  <c r="F661" i="1"/>
  <c r="C19" i="10"/>
  <c r="C10" i="10"/>
  <c r="L393" i="1"/>
  <c r="C138" i="2" s="1"/>
  <c r="C130" i="2"/>
  <c r="C29" i="10"/>
  <c r="E125" i="2"/>
  <c r="E121" i="2"/>
  <c r="E112" i="2"/>
  <c r="C13" i="10"/>
  <c r="D127" i="2"/>
  <c r="D128" i="2" s="1"/>
  <c r="D145" i="2" s="1"/>
  <c r="D17" i="13"/>
  <c r="C17" i="13" s="1"/>
  <c r="D14" i="13"/>
  <c r="C14" i="13" s="1"/>
  <c r="C18" i="10"/>
  <c r="L247" i="1"/>
  <c r="C120" i="2"/>
  <c r="J655" i="1"/>
  <c r="F169" i="1"/>
  <c r="H112" i="1"/>
  <c r="E13" i="13"/>
  <c r="C13" i="13" s="1"/>
  <c r="J643" i="1"/>
  <c r="I52" i="1"/>
  <c r="H620" i="1" s="1"/>
  <c r="G625" i="1"/>
  <c r="G164" i="2"/>
  <c r="C78" i="2"/>
  <c r="C132" i="2"/>
  <c r="G549" i="1"/>
  <c r="L529" i="1"/>
  <c r="L211" i="1"/>
  <c r="C16" i="10"/>
  <c r="L351" i="1"/>
  <c r="L229" i="1"/>
  <c r="C17" i="10"/>
  <c r="H25" i="13"/>
  <c r="K598" i="1"/>
  <c r="G647" i="1" s="1"/>
  <c r="K571" i="1"/>
  <c r="L560" i="1"/>
  <c r="K500" i="1"/>
  <c r="I460" i="1"/>
  <c r="I452" i="1"/>
  <c r="I446" i="1"/>
  <c r="G642" i="1" s="1"/>
  <c r="K257" i="1"/>
  <c r="K271" i="1" s="1"/>
  <c r="C123" i="2"/>
  <c r="C70" i="2"/>
  <c r="C62" i="2"/>
  <c r="C18" i="2"/>
  <c r="L270" i="1"/>
  <c r="J551" i="1"/>
  <c r="J552" i="1" s="1"/>
  <c r="L544" i="1"/>
  <c r="F551" i="1"/>
  <c r="L524" i="1"/>
  <c r="C32" i="10"/>
  <c r="C15" i="10"/>
  <c r="J338" i="1"/>
  <c r="J352" i="1" s="1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J618" i="1"/>
  <c r="G42" i="2"/>
  <c r="G50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J652" i="1"/>
  <c r="G571" i="1"/>
  <c r="I434" i="1"/>
  <c r="G434" i="1"/>
  <c r="I663" i="1"/>
  <c r="C21" i="12" l="1"/>
  <c r="B22" i="12"/>
  <c r="J625" i="1"/>
  <c r="C22" i="12"/>
  <c r="F33" i="13"/>
  <c r="E104" i="2"/>
  <c r="C63" i="2"/>
  <c r="L571" i="1"/>
  <c r="C30" i="12"/>
  <c r="C31" i="12" s="1"/>
  <c r="B31" i="12"/>
  <c r="C12" i="12"/>
  <c r="C13" i="12" s="1"/>
  <c r="B13" i="12"/>
  <c r="C39" i="12"/>
  <c r="C40" i="12" s="1"/>
  <c r="B40" i="12"/>
  <c r="C27" i="10"/>
  <c r="C28" i="10" s="1"/>
  <c r="D23" i="10" s="1"/>
  <c r="L434" i="1"/>
  <c r="G638" i="1" s="1"/>
  <c r="J638" i="1" s="1"/>
  <c r="C141" i="2"/>
  <c r="C144" i="2" s="1"/>
  <c r="I661" i="1"/>
  <c r="H660" i="1"/>
  <c r="H664" i="1" s="1"/>
  <c r="H672" i="1" s="1"/>
  <c r="C6" i="10" s="1"/>
  <c r="I662" i="1"/>
  <c r="G660" i="1"/>
  <c r="G664" i="1" s="1"/>
  <c r="G667" i="1" s="1"/>
  <c r="E128" i="2"/>
  <c r="D31" i="13"/>
  <c r="C31" i="13" s="1"/>
  <c r="F660" i="1"/>
  <c r="F664" i="1" s="1"/>
  <c r="E115" i="2"/>
  <c r="J647" i="1"/>
  <c r="G104" i="2"/>
  <c r="H193" i="1"/>
  <c r="G629" i="1" s="1"/>
  <c r="J629" i="1" s="1"/>
  <c r="E51" i="2"/>
  <c r="F104" i="2"/>
  <c r="C115" i="2"/>
  <c r="G51" i="2"/>
  <c r="L338" i="1"/>
  <c r="L352" i="1" s="1"/>
  <c r="G633" i="1" s="1"/>
  <c r="J633" i="1" s="1"/>
  <c r="D104" i="2"/>
  <c r="C39" i="10"/>
  <c r="C81" i="2"/>
  <c r="C104" i="2" s="1"/>
  <c r="C36" i="10"/>
  <c r="E33" i="13"/>
  <c r="D35" i="13" s="1"/>
  <c r="C128" i="2"/>
  <c r="L257" i="1"/>
  <c r="L271" i="1" s="1"/>
  <c r="G632" i="1" s="1"/>
  <c r="J632" i="1" s="1"/>
  <c r="H648" i="1"/>
  <c r="J648" i="1" s="1"/>
  <c r="F552" i="1"/>
  <c r="K551" i="1"/>
  <c r="K549" i="1"/>
  <c r="G552" i="1"/>
  <c r="F193" i="1"/>
  <c r="G627" i="1" s="1"/>
  <c r="J627" i="1" s="1"/>
  <c r="L408" i="1"/>
  <c r="L545" i="1"/>
  <c r="I461" i="1"/>
  <c r="H642" i="1" s="1"/>
  <c r="J642" i="1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A13" i="12" l="1"/>
  <c r="A22" i="12"/>
  <c r="A40" i="12"/>
  <c r="A31" i="12"/>
  <c r="K552" i="1"/>
  <c r="H667" i="1"/>
  <c r="G672" i="1"/>
  <c r="C5" i="10" s="1"/>
  <c r="E145" i="2"/>
  <c r="D33" i="13"/>
  <c r="D36" i="13" s="1"/>
  <c r="I660" i="1"/>
  <c r="I664" i="1" s="1"/>
  <c r="I672" i="1" s="1"/>
  <c r="C7" i="10" s="1"/>
  <c r="D13" i="10"/>
  <c r="D21" i="10"/>
  <c r="C145" i="2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G637" i="1"/>
  <c r="J637" i="1" s="1"/>
  <c r="H646" i="1"/>
  <c r="J646" i="1" s="1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<sst xmlns="http://schemas.openxmlformats.org/spreadsheetml/2006/main" count="3961" uniqueCount="916">
  <si>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</si>
  <si>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</si>
  <si>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</si>
  <si>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</si>
  <si>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</si>
  <si>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</si>
  <si>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</si>
  <si>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</si>
  <si>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</si>
  <si>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</si>
  <si>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</si>
  <si>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</si>
  <si>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</si>
  <si>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</si>
  <si>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</si>
  <si>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</si>
  <si>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</si>
  <si>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</si>
  <si>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</si>
  <si>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</si>
  <si>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</si>
  <si>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</si>
  <si>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</si>
  <si>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</si>
  <si>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</si>
  <si>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</si>
  <si>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</si>
  <si>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</si>
  <si>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</si>
  <si>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</si>
  <si>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</si>
  <si>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</si>
  <si>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</si>
  <si>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</si>
  <si>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</si>
  <si>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</si>
  <si>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</si>
  <si>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</si>
  <si>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</si>
  <si>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</si>
  <si>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</si>
  <si>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</si>
  <si>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</si>
  <si>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</si>
  <si>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</si>
  <si>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</si>
  <si>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</si>
  <si>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</si>
  <si>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</si>
  <si>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</si>
  <si>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</si>
  <si>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</si>
  <si>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</si>
  <si>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</si>
  <si>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</si>
  <si>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</si>
  <si>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</si>
  <si>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</si>
  <si>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</si>
  <si>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</si>
  <si>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</si>
  <si>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</si>
  <si>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</si>
  <si>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</si>
  <si>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</si>
  <si>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</si>
  <si>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</si>
  <si>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</si>
  <si>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</si>
  <si>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</si>
  <si>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</si>
  <si>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</si>
  <si>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</si>
  <si>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</si>
  <si>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</si>
  <si>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</si>
  <si>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</si>
  <si>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</si>
  <si>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</si>
  <si>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</si>
  <si>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</si>
  <si>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</si>
  <si>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</si>
  <si>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</si>
  <si>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</si>
  <si>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</si>
  <si>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</si>
  <si>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</si>
  <si>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</si>
  <si>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</si>
  <si>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</si>
  <si>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</si>
  <si>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</si>
  <si>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</si>
  <si>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</si>
  <si>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</si>
  <si>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</si>
  <si>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</si>
  <si>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</si>
  <si>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</si>
  <si>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</si>
  <si>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</si>
  <si>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</si>
  <si>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</si>
  <si>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</si>
  <si>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</si>
  <si>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</si>
  <si>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</si>
  <si>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</si>
  <si>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</si>
  <si>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</si>
  <si>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</si>
  <si>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</si>
  <si>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</si>
  <si>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</si>
  <si>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</si>
  <si>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</si>
  <si>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</si>
  <si>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</si>
  <si>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</si>
  <si>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</si>
  <si>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</si>
  <si>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</si>
  <si>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</si>
  <si>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</si>
  <si>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</si>
  <si>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</si>
  <si>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</si>
  <si>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</si>
  <si>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</si>
  <si>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</si>
  <si>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</si>
  <si>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</si>
  <si>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</si>
  <si>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</si>
  <si>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</si>
  <si>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</si>
  <si>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</si>
  <si>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</si>
  <si>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</si>
  <si>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</si>
  <si>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</si>
  <si>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</si>
  <si>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</si>
  <si>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</si>
  <si>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</si>
  <si>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</si>
  <si>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</si>
  <si>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</si>
  <si>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</si>
  <si>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</si>
  <si>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</si>
  <si>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</si>
  <si>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</si>
  <si>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</si>
  <si>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</si>
  <si>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</si>
  <si>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</si>
  <si>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</si>
  <si>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</si>
  <si>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</si>
  <si>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</si>
  <si>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</si>
  <si>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</si>
  <si>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</si>
  <si>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</si>
  <si>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</si>
  <si>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</si>
  <si>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</si>
  <si>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</si>
  <si>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</si>
  <si>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</si>
  <si>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</si>
  <si>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</si>
  <si>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</si>
  <si>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</si>
  <si>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</si>
  <si>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</si>
  <si>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</si>
  <si>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</si>
  <si>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</si>
  <si>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</si>
  <si>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</si>
  <si>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</si>
  <si>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</si>
  <si>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</si>
  <si>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</si>
  <si>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</si>
  <si>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</si>
  <si>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</si>
  <si>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</si>
  <si>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</si>
  <si>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</si>
  <si>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</si>
  <si>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</si>
  <si>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</si>
  <si>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</si>
  <si>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</si>
  <si>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</si>
  <si>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</si>
  <si>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</si>
  <si>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</si>
  <si>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</si>
  <si>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</si>
  <si>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</si>
  <si>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</si>
  <si>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</si>
  <si>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</si>
  <si>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</si>
  <si>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</si>
  <si>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</si>
  <si>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</si>
  <si>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</si>
  <si>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</si>
  <si>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</si>
  <si>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</si>
  <si>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</si>
  <si>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</si>
  <si>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</si>
  <si>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</si>
  <si>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</si>
  <si>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</si>
  <si>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</si>
  <si>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</si>
  <si>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</si>
  <si>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</si>
  <si>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</si>
  <si>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</si>
  <si>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</si>
  <si>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</si>
  <si>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</si>
  <si>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</si>
  <si>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</si>
  <si>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</si>
  <si>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</si>
  <si>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</si>
  <si>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</si>
  <si>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</si>
  <si>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</si>
  <si>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</si>
  <si>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</si>
  <si>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</si>
  <si>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</si>
  <si>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</si>
  <si>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</si>
  <si>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</si>
  <si>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</si>
  <si>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</si>
  <si>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</si>
  <si>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</si>
  <si>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</si>
  <si>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</si>
  <si>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</si>
  <si>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</si>
  <si>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</si>
  <si>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</si>
  <si>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</si>
  <si>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</si>
  <si>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</si>
  <si>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</si>
  <si>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</si>
  <si>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</si>
  <si>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</si>
  <si>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</si>
  <si>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</si>
  <si>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</si>
  <si>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</si>
  <si>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</si>
  <si>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</si>
  <si>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</si>
  <si>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</si>
  <si>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</si>
  <si>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</si>
  <si>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</si>
  <si>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</si>
  <si>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</si>
  <si>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</si>
  <si>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</si>
  <si>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</si>
  <si>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</si>
  <si>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</si>
  <si>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</si>
  <si>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</si>
  <si>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</si>
  <si>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</si>
  <si>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</si>
  <si>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</si>
  <si>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</si>
  <si>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</si>
  <si>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</si>
  <si>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</si>
  <si>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</si>
  <si>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</si>
  <si>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</si>
  <si>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</si>
  <si>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</si>
  <si>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</si>
  <si>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</si>
  <si>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</si>
  <si>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</si>
  <si>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</si>
  <si>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</si>
  <si>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</si>
  <si>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</si>
  <si>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</si>
  <si>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</si>
  <si>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</si>
  <si>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</si>
  <si>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</si>
  <si>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</si>
  <si>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</si>
  <si>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</si>
  <si>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</si>
  <si>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</si>
  <si>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</si>
  <si>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</si>
  <si>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</si>
  <si>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</si>
  <si>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</si>
  <si>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</si>
  <si>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</si>
  <si>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</si>
  <si>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</si>
  <si>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</si>
  <si>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</si>
  <si>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</si>
  <si>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</si>
  <si>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</si>
  <si>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</si>
  <si>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</si>
  <si>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</si>
  <si>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</si>
  <si>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</si>
  <si>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</si>
  <si>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</si>
  <si>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</si>
  <si>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</si>
  <si>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</si>
  <si>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</si>
  <si>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</si>
  <si>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</si>
  <si>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</si>
  <si>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</si>
  <si>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</si>
  <si>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</si>
  <si>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</si>
  <si>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</si>
  <si>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</si>
  <si>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</si>
  <si>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</si>
  <si>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</si>
  <si>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</si>
  <si>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</si>
  <si>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</si>
  <si>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</si>
  <si>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</si>
  <si>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</si>
  <si>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</si>
  <si>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</si>
  <si>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</si>
  <si>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</si>
  <si>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</si>
  <si>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</si>
  <si>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</si>
  <si>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</si>
  <si>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</si>
  <si>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</si>
  <si>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</si>
  <si>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</si>
  <si>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</si>
  <si>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</si>
  <si>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</si>
  <si>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</si>
  <si>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</si>
  <si>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</si>
  <si>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</si>
  <si>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</si>
  <si>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</si>
  <si>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</si>
  <si>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</si>
  <si>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</si>
  <si>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</si>
  <si>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</si>
  <si>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</si>
  <si>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</si>
  <si>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</si>
  <si>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</si>
  <si>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</si>
  <si>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</si>
  <si>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</si>
  <si>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</si>
  <si>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</si>
  <si>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</si>
  <si>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</si>
  <si>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</si>
  <si>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</si>
  <si>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</si>
  <si>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</si>
  <si>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</si>
  <si>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</si>
  <si>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</si>
  <si>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</si>
  <si>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</si>
  <si>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</si>
  <si>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</si>
  <si>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</si>
  <si>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</si>
  <si>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</si>
  <si>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</si>
  <si>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</si>
  <si>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</si>
  <si>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</si>
  <si>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</si>
  <si>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</si>
  <si>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</si>
  <si>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</si>
  <si>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</si>
  <si>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</si>
  <si>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</si>
  <si>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</si>
  <si>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</si>
  <si>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</si>
  <si>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</si>
  <si>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</si>
  <si>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</si>
  <si>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</si>
  <si>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</si>
  <si>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</si>
  <si>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</si>
  <si>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</si>
  <si>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</si>
  <si>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</si>
  <si>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</si>
  <si>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</si>
  <si>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</si>
  <si>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</si>
  <si>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</si>
  <si>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</si>
  <si>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</si>
  <si>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</si>
  <si>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</si>
  <si>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</si>
  <si>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</si>
  <si>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</si>
  <si>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</si>
  <si>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</si>
  <si>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</si>
  <si>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</si>
  <si>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</si>
  <si>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</si>
  <si>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</si>
  <si>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</si>
  <si>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</si>
  <si>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</si>
  <si>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</si>
  <si>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</si>
  <si>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</si>
  <si>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</si>
  <si>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</si>
  <si>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</si>
  <si>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</si>
  <si>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</si>
  <si>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</si>
  <si>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</si>
  <si>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</si>
  <si>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</si>
  <si>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</si>
  <si>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</si>
  <si>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</si>
  <si>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</si>
  <si>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</si>
  <si>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</si>
  <si>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</si>
  <si>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</si>
  <si>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</si>
  <si>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</si>
  <si>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</si>
  <si>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</si>
  <si>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</si>
  <si>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</si>
  <si>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</si>
  <si>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</si>
  <si>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</si>
  <si>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</si>
  <si>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</si>
  <si>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</si>
  <si>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</si>
  <si>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</si>
  <si>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</si>
  <si>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</si>
  <si>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</si>
  <si>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</si>
  <si>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</si>
  <si>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</si>
  <si>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</si>
  <si>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</si>
  <si>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</si>
  <si>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</si>
  <si>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</si>
  <si>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</si>
  <si>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</si>
  <si>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</si>
  <si>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</si>
  <si>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</si>
  <si>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</si>
  <si>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</si>
  <si>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</si>
  <si>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</si>
  <si>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</si>
  <si>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</si>
  <si>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</si>
  <si>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</si>
  <si>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</si>
  <si>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</si>
  <si>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</si>
  <si>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</si>
  <si>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</si>
  <si>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</si>
  <si>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</si>
  <si>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</si>
  <si>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</si>
  <si>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</si>
  <si>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</si>
  <si>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</si>
  <si>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</si>
  <si>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</si>
  <si>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</si>
  <si>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</si>
  <si>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</si>
  <si>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</si>
  <si>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</si>
  <si>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</si>
  <si>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</si>
  <si>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</si>
  <si>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</si>
  <si>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</si>
  <si>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</si>
  <si>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</si>
  <si>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</si>
  <si>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</si>
  <si>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</si>
  <si>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</si>
  <si>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</si>
  <si>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</si>
  <si>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</si>
  <si>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</si>
  <si>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</si>
  <si>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</si>
  <si>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</si>
  <si>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</si>
  <si>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</si>
  <si>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</si>
  <si>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</si>
  <si>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</si>
  <si>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</si>
  <si>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</si>
  <si>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</si>
  <si>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</si>
  <si>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</si>
  <si>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</si>
  <si>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</si>
  <si>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</si>
  <si>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</si>
  <si>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</si>
  <si>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</si>
  <si>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</si>
  <si>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</si>
  <si>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</si>
  <si>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</si>
  <si>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</si>
  <si>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</si>
  <si>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</si>
  <si>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</si>
  <si>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</si>
  <si>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</si>
  <si>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</si>
  <si>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</si>
  <si>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</si>
  <si>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</si>
  <si>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</si>
  <si>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</si>
  <si>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</si>
  <si>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</si>
  <si>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</si>
  <si>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</si>
  <si>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</si>
  <si>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</si>
  <si>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</si>
  <si>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</si>
  <si>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</si>
  <si>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</si>
  <si>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</si>
  <si>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</si>
  <si>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</si>
  <si>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</si>
  <si>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</si>
  <si>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</si>
  <si>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</si>
  <si>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</si>
  <si>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</si>
  <si>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</si>
  <si>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</si>
  <si>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</si>
  <si>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</si>
  <si>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</si>
  <si>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</si>
  <si>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</si>
  <si>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</si>
  <si>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</si>
  <si>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</si>
  <si>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</si>
  <si>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</si>
  <si>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</si>
  <si>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</si>
  <si>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</si>
  <si>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</si>
  <si>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</si>
  <si>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</si>
  <si>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</si>
  <si>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</si>
  <si>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</si>
  <si>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</si>
  <si>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</si>
  <si>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</si>
  <si>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</si>
  <si>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</si>
  <si>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</si>
  <si>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</si>
  <si>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</si>
  <si>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</si>
  <si>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</si>
  <si>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</si>
  <si>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</si>
  <si>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</si>
  <si>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</si>
  <si>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</si>
  <si>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</si>
  <si>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</si>
  <si>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</si>
  <si>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</si>
  <si>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</si>
  <si>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</si>
  <si>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</si>
  <si>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</si>
  <si>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</si>
  <si>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</si>
  <si>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</si>
  <si>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</si>
  <si>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</si>
  <si>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</si>
  <si>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</si>
  <si>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</si>
  <si>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</si>
  <si>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</si>
  <si>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</si>
  <si>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</si>
  <si>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</si>
  <si>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</si>
  <si>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</si>
  <si>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</si>
  <si>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</si>
  <si>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</si>
  <si>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</si>
  <si>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</si>
  <si>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</si>
  <si>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</si>
  <si>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</si>
  <si>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</si>
  <si>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</si>
  <si>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</si>
  <si>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</si>
  <si>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</si>
  <si>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</si>
  <si>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</si>
  <si>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</si>
  <si>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</si>
  <si>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</si>
  <si>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</si>
  <si>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</si>
  <si>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</si>
  <si>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</si>
  <si>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</si>
  <si>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</si>
  <si>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</si>
  <si>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</si>
  <si>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</si>
  <si>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</si>
  <si>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</si>
  <si>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</si>
  <si>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</si>
  <si>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</si>
  <si>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</si>
  <si>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</si>
  <si>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</si>
  <si>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</si>
  <si>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</si>
  <si>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</si>
  <si>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</si>
  <si>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</si>
  <si>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</si>
  <si>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</si>
  <si>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</si>
  <si>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</si>
  <si>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</si>
  <si>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</si>
  <si>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</si>
  <si>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</si>
  <si>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</si>
  <si>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</si>
  <si>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</si>
  <si>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</si>
  <si>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</si>
  <si>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</si>
  <si>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</si>
  <si>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</si>
  <si>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</si>
  <si>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</si>
  <si>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</si>
  <si>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</si>
  <si>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</si>
  <si>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</si>
  <si>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</si>
  <si>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</si>
  <si>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</si>
  <si>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</si>
  <si>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</si>
  <si>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</si>
  <si>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</si>
  <si>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</si>
  <si>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</si>
  <si>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</si>
  <si>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</si>
  <si>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</si>
  <si>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</si>
  <si>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</si>
  <si>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</si>
  <si>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</si>
  <si>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</si>
  <si>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</si>
  <si>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</si>
  <si>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</si>
  <si>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</si>
  <si>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</si>
  <si>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</si>
  <si>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</si>
  <si>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</si>
  <si>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</si>
  <si>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</si>
  <si>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</si>
  <si>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</si>
  <si>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</si>
  <si>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</si>
  <si>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</si>
  <si>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</si>
  <si>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</si>
  <si>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</si>
  <si>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</si>
  <si>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</si>
  <si>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</si>
  <si>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</si>
  <si>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</si>
  <si>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</si>
  <si>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</si>
  <si>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</si>
  <si>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</si>
  <si>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</si>
  <si>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</si>
  <si>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</si>
  <si>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</si>
  <si>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</si>
  <si>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</si>
  <si>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</si>
  <si>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</si>
  <si>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</si>
  <si>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</si>
  <si>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</si>
  <si>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</si>
  <si>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</si>
  <si>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</si>
  <si>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</si>
  <si>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</si>
  <si>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</si>
  <si>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</si>
  <si>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</si>
  <si>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</si>
  <si>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</si>
  <si>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</si>
  <si>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</si>
  <si>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</si>
  <si>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</si>
  <si>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</si>
  <si>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</si>
  <si>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</si>
  <si>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</si>
  <si>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</si>
  <si>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</si>
  <si>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</si>
  <si>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</si>
  <si>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</si>
  <si>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</si>
  <si>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</si>
  <si>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</si>
  <si>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</si>
  <si>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</si>
  <si>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</si>
  <si>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</si>
  <si>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</si>
  <si>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</si>
  <si>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</si>
  <si>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</si>
  <si>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</si>
  <si>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</si>
  <si>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</si>
  <si>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</si>
  <si>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</si>
  <si>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</si>
  <si>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</si>
  <si>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</si>
  <si>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</si>
  <si>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</si>
  <si>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</si>
  <si>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</si>
  <si>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</si>
  <si>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</si>
  <si>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</si>
  <si>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</si>
  <si>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</si>
  <si>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</si>
  <si>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</si>
  <si>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</si>
  <si>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</si>
  <si>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</si>
  <si>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</si>
  <si>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</si>
  <si>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</si>
  <si>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</si>
  <si>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</si>
  <si>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</si>
  <si>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</si>
  <si>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</si>
  <si>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</si>
  <si>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</si>
  <si>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</si>
  <si>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</si>
  <si>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</si>
  <si>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</si>
  <si>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</si>
  <si>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</si>
  <si>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</si>
  <si>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</si>
  <si>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</si>
  <si>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</si>
  <si>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</si>
  <si>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</si>
  <si>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</si>
  <si>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</si>
  <si>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</si>
  <si>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</si>
  <si>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</si>
  <si>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</si>
  <si>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</si>
  <si>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</si>
  <si>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</si>
  <si>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</si>
  <si>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</si>
  <si>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</si>
  <si>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</si>
  <si>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</si>
  <si>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</si>
  <si>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</si>
  <si>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</si>
  <si>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</si>
  <si>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</si>
  <si>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</si>
  <si>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</si>
  <si>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</si>
  <si>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</si>
  <si>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</si>
  <si>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</si>
  <si>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</si>
  <si>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</si>
  <si>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</si>
  <si>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</si>
  <si>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</si>
  <si>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</si>
  <si>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</si>
  <si>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</si>
  <si>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</si>
  <si>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</si>
  <si>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</si>
  <si>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</si>
  <si>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</si>
  <si>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</si>
  <si>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</si>
  <si>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</si>
  <si>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</si>
  <si>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</si>
  <si>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</si>
  <si>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</si>
  <si>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</si>
  <si>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</si>
  <si>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</si>
  <si>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</si>
  <si>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</si>
  <si>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</si>
  <si>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</si>
  <si>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</si>
  <si>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</si>
  <si>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</si>
  <si>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</si>
  <si>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</si>
  <si>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</si>
  <si>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various</t>
  </si>
  <si>
    <t>2/00 - 3/17</t>
  </si>
  <si>
    <t>04/40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</si>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</sst>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915</v>
      </c>
      <c r="B2" s="21">
        <v>111</v>
      </c>
      <c r="C2" s="21">
        <v>111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4273122.05</v>
      </c>
      <c r="G9" s="18">
        <v>308942.53000000003</v>
      </c>
      <c r="H9" s="18">
        <v>-200340.99</v>
      </c>
      <c r="I9" s="18">
        <v>191166.04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2724742.75</v>
      </c>
      <c r="J10" s="67">
        <f>SUM(I440)</f>
        <v>6305030.6399999997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112570409.37</v>
      </c>
      <c r="G12" s="18">
        <v>6882080.6799999997</v>
      </c>
      <c r="H12" s="18">
        <v>40920070.75</v>
      </c>
      <c r="I12" s="18">
        <v>64908514.369999997</v>
      </c>
      <c r="J12" s="67">
        <f>SUM(I441)</f>
        <v>-1703884.8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843881.43</v>
      </c>
      <c r="G14" s="18">
        <v>67231.59</v>
      </c>
      <c r="H14" s="18">
        <v>1078292.43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2463.4499999999998</v>
      </c>
      <c r="G16" s="18">
        <v>60235.58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101300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117791176.30000001</v>
      </c>
      <c r="G19" s="41">
        <f>SUM(G9:G18)</f>
        <v>7318490.3799999999</v>
      </c>
      <c r="H19" s="41">
        <f>SUM(H9:H18)</f>
        <v>41798022.189999998</v>
      </c>
      <c r="I19" s="41">
        <f>SUM(I9:I18)</f>
        <v>67824423.159999996</v>
      </c>
      <c r="J19" s="41">
        <f>SUM(J9:J18)</f>
        <v>4601145.84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111293265.16</v>
      </c>
      <c r="G22" s="18">
        <v>7190056.6900000004</v>
      </c>
      <c r="H22" s="18">
        <v>41495643.200000003</v>
      </c>
      <c r="I22" s="18">
        <v>65334143.520000003</v>
      </c>
      <c r="J22" s="67">
        <f>SUM(I448)</f>
        <v>-1736138.1700000002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132045.22</v>
      </c>
      <c r="G28" s="18">
        <v>787.5</v>
      </c>
      <c r="H28" s="18">
        <v>142.33000000000001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2354596.08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14165</v>
      </c>
      <c r="G30" s="18">
        <v>32755.79</v>
      </c>
      <c r="H30" s="18">
        <v>580.98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113794071.45999999</v>
      </c>
      <c r="G32" s="41">
        <f>SUM(G22:G31)</f>
        <v>7223599.9800000004</v>
      </c>
      <c r="H32" s="41">
        <f>SUM(H22:H31)</f>
        <v>41496366.509999998</v>
      </c>
      <c r="I32" s="41">
        <f>SUM(I22:I31)</f>
        <v>65334143.520000003</v>
      </c>
      <c r="J32" s="41">
        <f>SUM(J22:J31)</f>
        <v>-1736138.1700000002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1872807.51</v>
      </c>
      <c r="G45" s="18">
        <v>10305.040000000001</v>
      </c>
      <c r="H45" s="18">
        <f>238044.52</f>
        <v>238044.52</v>
      </c>
      <c r="I45" s="18">
        <f>562934.2</f>
        <v>562934.19999999995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2463.4499999999998</v>
      </c>
      <c r="G48" s="18">
        <v>84585.36</v>
      </c>
      <c r="H48" s="18">
        <f>290940.38-18978765.07+20120868.17-1369432.32</f>
        <v>63611.160000000382</v>
      </c>
      <c r="I48" s="18">
        <f>8866726.75+192145383.74-198775611.78-309153.27</f>
        <v>1927345.4400000083</v>
      </c>
      <c r="J48" s="13">
        <f>SUM(I459)</f>
        <v>6337284.0099999998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2121833.88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3997104.84</v>
      </c>
      <c r="G51" s="41">
        <f>SUM(G35:G50)</f>
        <v>94890.4</v>
      </c>
      <c r="H51" s="41">
        <f>SUM(H35:H50)</f>
        <v>301655.6800000004</v>
      </c>
      <c r="I51" s="41">
        <f>SUM(I35:I50)</f>
        <v>2490279.640000008</v>
      </c>
      <c r="J51" s="41">
        <f>SUM(J35:J50)</f>
        <v>6337284.0099999998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117791176.3</v>
      </c>
      <c r="G52" s="41">
        <f>G51+G32</f>
        <v>7318490.3800000008</v>
      </c>
      <c r="H52" s="41">
        <f>H51+H32</f>
        <v>41798022.189999998</v>
      </c>
      <c r="I52" s="41">
        <f>I51+I32</f>
        <v>67824423.160000011</v>
      </c>
      <c r="J52" s="41">
        <f>J51+J32</f>
        <v>4601145.84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48400057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103209.76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48503266.759999998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166275.6+88657</f>
        <v>254932.6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11465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30961.98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1905191.81</f>
        <v>1905191.81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f>470696.62</f>
        <v>470696.62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f>791948.24</f>
        <v>791948.24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3465196.25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f>8405</f>
        <v>8405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f>10195</f>
        <v>10195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f>197051.29-1</f>
        <v>197050.29</v>
      </c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215650.29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35024.82</f>
        <v>35024.82</v>
      </c>
      <c r="G96" s="18">
        <f>17.19</f>
        <v>17.190000000000001</v>
      </c>
      <c r="H96" s="18"/>
      <c r="I96" s="18">
        <f>5636.2</f>
        <v>5636.2</v>
      </c>
      <c r="J96" s="18">
        <f>20914.65+1606.11</f>
        <v>22520.760000000002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375078.8+24085.55+15354.75+296225.75+26034.84</f>
        <v>736779.69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f>14301+104874</f>
        <v>119175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f>150649.99</f>
        <v>150649.99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134129.18</v>
      </c>
      <c r="I102" s="18"/>
      <c r="J102" s="18">
        <f>17619.09</f>
        <v>17619.09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f>7406.86</f>
        <v>7406.86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247438.96+241.09</f>
        <v>247680.05</v>
      </c>
      <c r="G110" s="18">
        <f>8166.54</f>
        <v>8166.54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559936.72</v>
      </c>
      <c r="G111" s="41">
        <f>SUM(G96:G110)</f>
        <v>744963.41999999993</v>
      </c>
      <c r="H111" s="41">
        <f>SUM(H96:H110)</f>
        <v>134129.18</v>
      </c>
      <c r="I111" s="41">
        <f>SUM(I96:I110)</f>
        <v>5636.2</v>
      </c>
      <c r="J111" s="41">
        <f>SUM(J96:J110)</f>
        <v>40139.850000000006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52744050.019999996</v>
      </c>
      <c r="G112" s="41">
        <f>G60+G111</f>
        <v>744963.41999999993</v>
      </c>
      <c r="H112" s="41">
        <f>H60+H79+H94+H111</f>
        <v>134129.18</v>
      </c>
      <c r="I112" s="41">
        <f>I60+I111</f>
        <v>5636.2</v>
      </c>
      <c r="J112" s="41">
        <f>J60+J111</f>
        <v>40139.850000000006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13508349.380000001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f>8081293</f>
        <v>8081293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17357.69+49421.9</f>
        <v>66779.59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21656421.970000003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1003482.34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232214.94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f>1269192.44</f>
        <v>1269192.44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60521.64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67344.22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21929.54</f>
        <v>21929.54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f>247.08+130557.76</f>
        <v>130804.84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2504889.7199999997</v>
      </c>
      <c r="G136" s="41">
        <f>SUM(G123:G135)</f>
        <v>21929.54</v>
      </c>
      <c r="H136" s="41">
        <f>SUM(H123:H135)</f>
        <v>258670.7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24161311.690000001</v>
      </c>
      <c r="G140" s="41">
        <f>G121+SUM(G136:G137)</f>
        <v>21929.54</v>
      </c>
      <c r="H140" s="41">
        <f>H121+SUM(H136:H139)</f>
        <v>258670.7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825730.22</v>
      </c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825730.22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1558398.45</f>
        <v>1558398.45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926300.89</f>
        <v>926300.89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f>427064.62</f>
        <v>427064.62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955482.74+91211.72</f>
        <v>1046694.46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1272937.3</f>
        <v>1272937.3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1033862.02</f>
        <v>1033862.02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f>27982.34</f>
        <v>27982.34</v>
      </c>
      <c r="G161" s="18"/>
      <c r="H161" s="18">
        <f>131877.04</f>
        <v>131877.04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1061844.3600000001</v>
      </c>
      <c r="G162" s="41">
        <f>SUM(G150:G161)</f>
        <v>1046694.46</v>
      </c>
      <c r="H162" s="41">
        <f>SUM(H150:H161)</f>
        <v>4316578.3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1887574.58</v>
      </c>
      <c r="G169" s="41">
        <f>G147+G162+SUM(G163:G168)</f>
        <v>1046694.46</v>
      </c>
      <c r="H169" s="41">
        <f>H147+H162+SUM(H163:H168)</f>
        <v>4316578.3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100000</v>
      </c>
      <c r="H179" s="18"/>
      <c r="I179" s="18"/>
      <c r="J179" s="18">
        <f>494458+78020</f>
        <v>572478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f>80663.32</f>
        <v>80663.320000000007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80663.320000000007</v>
      </c>
      <c r="G183" s="41">
        <f>SUM(G179:G182)</f>
        <v>100000</v>
      </c>
      <c r="H183" s="41">
        <f>SUM(H179:H182)</f>
        <v>0</v>
      </c>
      <c r="I183" s="41">
        <f>SUM(I179:I182)</f>
        <v>0</v>
      </c>
      <c r="J183" s="41">
        <f>SUM(J179:J182)</f>
        <v>572478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>
        <f>33116.02</f>
        <v>33116.019999999997</v>
      </c>
      <c r="I186" s="18">
        <f>168854.55</f>
        <v>168854.55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33116.019999999997</v>
      </c>
      <c r="I188" s="41">
        <f>SUM(I185:I187)</f>
        <v>168854.55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80663.320000000007</v>
      </c>
      <c r="G192" s="41">
        <f>G183+SUM(G188:G191)</f>
        <v>100000</v>
      </c>
      <c r="H192" s="41">
        <f>+H183+SUM(H188:H191)</f>
        <v>33116.019999999997</v>
      </c>
      <c r="I192" s="41">
        <f>I177+I183+SUM(I188:I191)</f>
        <v>168854.55</v>
      </c>
      <c r="J192" s="41">
        <f>J183</f>
        <v>572478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78873599.609999985</v>
      </c>
      <c r="G193" s="47">
        <f>G112+G140+G169+G192</f>
        <v>1913587.42</v>
      </c>
      <c r="H193" s="47">
        <f>H112+H140+H169+H192</f>
        <v>4742494.1999999993</v>
      </c>
      <c r="I193" s="47">
        <f>I112+I140+I169+I192</f>
        <v>174490.75</v>
      </c>
      <c r="J193" s="47">
        <f>J112+J140+J192</f>
        <v>612617.85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8063259.46+20421.52+120837.78</f>
        <v>8204518.7599999998</v>
      </c>
      <c r="G197" s="18">
        <f>3722070.09+1598.28+222187.19</f>
        <v>3945855.5599999996</v>
      </c>
      <c r="H197" s="18">
        <f>42485.88+670.57</f>
        <v>43156.45</v>
      </c>
      <c r="I197" s="18">
        <f>179423.47</f>
        <v>179423.47</v>
      </c>
      <c r="J197" s="18">
        <f>5614.96</f>
        <v>5614.96</v>
      </c>
      <c r="K197" s="18">
        <f>194+3939.91</f>
        <v>4133.91</v>
      </c>
      <c r="L197" s="19">
        <f>SUM(F197:K197)</f>
        <v>12382703.110000001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2336365.61+1181870.74+285801.23+35.2</f>
        <v>3804072.78</v>
      </c>
      <c r="G198" s="18">
        <f>796242.66+422883.63+90045.92+2.69+104982.95</f>
        <v>1414157.8499999999</v>
      </c>
      <c r="H198" s="18">
        <f>342453.02+575827.39+18096.11+39172.48</f>
        <v>975549</v>
      </c>
      <c r="I198" s="18">
        <f>4223.92+4856.05+1503.84+4397.65</f>
        <v>14981.460000000001</v>
      </c>
      <c r="J198" s="18">
        <f>1488.7</f>
        <v>1488.7</v>
      </c>
      <c r="K198" s="18"/>
      <c r="L198" s="19">
        <f>SUM(F198:K198)</f>
        <v>6210249.79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10820+62457.35</f>
        <v>73277.350000000006</v>
      </c>
      <c r="G200" s="18">
        <f>2687.59+29450.41+300.52</f>
        <v>32438.52</v>
      </c>
      <c r="H200" s="18">
        <f>1350</f>
        <v>1350</v>
      </c>
      <c r="I200" s="18"/>
      <c r="J200" s="18"/>
      <c r="K200" s="18"/>
      <c r="L200" s="19">
        <f>SUM(F200:K200)</f>
        <v>107065.87000000001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369200.64+311073.86+156340.83+643324.31+263092.05+74811.6</f>
        <v>1817843.2900000003</v>
      </c>
      <c r="G202" s="18">
        <f>170251.28+157757.23+78755.01+248983.84+115747.57+16580.55+48083.79</f>
        <v>836159.27</v>
      </c>
      <c r="H202" s="18">
        <f>8754.25+122401.45+21895.61</f>
        <v>153051.31</v>
      </c>
      <c r="I202" s="18">
        <f>1139.22+6810.11+4348.41+5450.51</f>
        <v>17748.25</v>
      </c>
      <c r="J202" s="18">
        <f>6960+5625.67</f>
        <v>12585.67</v>
      </c>
      <c r="K202" s="18">
        <f>965.82</f>
        <v>965.82</v>
      </c>
      <c r="L202" s="19">
        <f t="shared" ref="L202:L208" si="0">SUM(F202:K202)</f>
        <v>2838353.6100000003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364694.87+116852.62+252094.77</f>
        <v>733642.26</v>
      </c>
      <c r="G203" s="18">
        <f>206703.62+38099.92+189597.39+13323.22</f>
        <v>447724.14999999997</v>
      </c>
      <c r="H203" s="18">
        <f>1859.86+376357.29</f>
        <v>378217.14999999997</v>
      </c>
      <c r="I203" s="18">
        <f>11533.02+634.35+6371.56+144628.69</f>
        <v>163167.62</v>
      </c>
      <c r="J203" s="18">
        <f>5595.4+48804.52</f>
        <v>54399.92</v>
      </c>
      <c r="K203" s="18">
        <f>43.31</f>
        <v>43.31</v>
      </c>
      <c r="L203" s="19">
        <f t="shared" si="0"/>
        <v>1777194.4099999997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221844.62</f>
        <v>221844.62</v>
      </c>
      <c r="G204" s="18">
        <f>89217.17</f>
        <v>89217.17</v>
      </c>
      <c r="H204" s="18">
        <f>105136.62</f>
        <v>105136.62</v>
      </c>
      <c r="I204" s="18">
        <f>10207.21</f>
        <v>10207.209999999999</v>
      </c>
      <c r="J204" s="18">
        <f>848.87</f>
        <v>848.87</v>
      </c>
      <c r="K204" s="18">
        <f>4233.03</f>
        <v>4233.03</v>
      </c>
      <c r="L204" s="19">
        <f t="shared" si="0"/>
        <v>431487.52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772179.11</f>
        <v>772179.11</v>
      </c>
      <c r="G205" s="18">
        <f>383386.35+21337.18</f>
        <v>404723.52999999997</v>
      </c>
      <c r="H205" s="18">
        <f>11487.1</f>
        <v>11487.1</v>
      </c>
      <c r="I205" s="18">
        <f>4119.78</f>
        <v>4119.78</v>
      </c>
      <c r="J205" s="18"/>
      <c r="K205" s="18">
        <f>6041</f>
        <v>6041</v>
      </c>
      <c r="L205" s="19">
        <f t="shared" si="0"/>
        <v>1198550.52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226984.48</f>
        <v>226984.48</v>
      </c>
      <c r="G206" s="18">
        <f>99408.49</f>
        <v>99408.49</v>
      </c>
      <c r="H206" s="18">
        <f>8173.85</f>
        <v>8173.85</v>
      </c>
      <c r="I206" s="18">
        <f>660.6</f>
        <v>660.6</v>
      </c>
      <c r="J206" s="18">
        <f>2060.29</f>
        <v>2060.29</v>
      </c>
      <c r="K206" s="18">
        <f>1583.18</f>
        <v>1583.18</v>
      </c>
      <c r="L206" s="19">
        <f t="shared" si="0"/>
        <v>338870.88999999996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568869.78+188430.9</f>
        <v>757300.68</v>
      </c>
      <c r="G207" s="18">
        <f>268191.36+81903.86+15727.41</f>
        <v>365822.62999999995</v>
      </c>
      <c r="H207" s="18">
        <f>2374.52+266899.07+221524.9</f>
        <v>490798.49</v>
      </c>
      <c r="I207" s="18">
        <f>64806.23+542117.32+26595.48</f>
        <v>633519.02999999991</v>
      </c>
      <c r="J207" s="18">
        <f>15055.38+39249.24</f>
        <v>54304.619999999995</v>
      </c>
      <c r="K207" s="18">
        <f>242.56</f>
        <v>242.56</v>
      </c>
      <c r="L207" s="19">
        <f t="shared" si="0"/>
        <v>2301988.0100000002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689175.27</f>
        <v>689175.27</v>
      </c>
      <c r="G208" s="18">
        <f>243133.55</f>
        <v>243133.55</v>
      </c>
      <c r="H208" s="18">
        <f>576.84+22886.38+231189.15</f>
        <v>254652.37</v>
      </c>
      <c r="I208" s="18">
        <f>108048.7</f>
        <v>108048.7</v>
      </c>
      <c r="J208" s="18">
        <f>1958.91</f>
        <v>1958.91</v>
      </c>
      <c r="K208" s="18">
        <f>833.29</f>
        <v>833.29</v>
      </c>
      <c r="L208" s="19">
        <f t="shared" si="0"/>
        <v>1297802.0899999999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147492.17</f>
        <v>147492.17000000001</v>
      </c>
      <c r="G209" s="18">
        <f>77625.63</f>
        <v>77625.63</v>
      </c>
      <c r="H209" s="18">
        <f>43976.5</f>
        <v>43976.5</v>
      </c>
      <c r="I209" s="18">
        <f>5995.12</f>
        <v>5995.12</v>
      </c>
      <c r="J209" s="18"/>
      <c r="K209" s="18"/>
      <c r="L209" s="19">
        <f>SUM(F209:K209)</f>
        <v>275089.42000000004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17448330.77</v>
      </c>
      <c r="G211" s="41">
        <f t="shared" si="1"/>
        <v>7956266.3499999996</v>
      </c>
      <c r="H211" s="41">
        <f t="shared" si="1"/>
        <v>2465548.84</v>
      </c>
      <c r="I211" s="41">
        <f t="shared" si="1"/>
        <v>1137871.24</v>
      </c>
      <c r="J211" s="41">
        <f t="shared" si="1"/>
        <v>133261.93999999997</v>
      </c>
      <c r="K211" s="41">
        <f t="shared" si="1"/>
        <v>18076.100000000002</v>
      </c>
      <c r="L211" s="41">
        <f t="shared" si="1"/>
        <v>29159355.240000006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4556529.5+10081.09+60759.92</f>
        <v>4627370.51</v>
      </c>
      <c r="G215" s="18">
        <f>2107933.27+788.99+125719.08</f>
        <v>2234441.3400000003</v>
      </c>
      <c r="H215" s="18">
        <f>13813.27+331.03</f>
        <v>14144.300000000001</v>
      </c>
      <c r="I215" s="18">
        <f>62266.83</f>
        <v>62266.83</v>
      </c>
      <c r="J215" s="18">
        <f>15084.15</f>
        <v>15084.15</v>
      </c>
      <c r="K215" s="18">
        <f>1944.94</f>
        <v>1944.94</v>
      </c>
      <c r="L215" s="19">
        <f>SUM(F215:K215)</f>
        <v>6955252.0700000003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514335.92+571541.36+123085.31+16.4</f>
        <v>1208978.99</v>
      </c>
      <c r="G216" s="18">
        <f>163159.26+243954.48+48681.28+1.26+33358.13</f>
        <v>489154.41000000003</v>
      </c>
      <c r="H216" s="18">
        <f>580080.7+92896+3156.4+18254.89</f>
        <v>694387.99</v>
      </c>
      <c r="I216" s="18">
        <f>3519.98+2049.36</f>
        <v>5569.34</v>
      </c>
      <c r="J216" s="18">
        <f>693.75</f>
        <v>693.75</v>
      </c>
      <c r="K216" s="18"/>
      <c r="L216" s="19">
        <f>SUM(F216:K216)</f>
        <v>2398784.4799999995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15344+67958+11437.5+30832.1</f>
        <v>125571.6</v>
      </c>
      <c r="G218" s="18">
        <f>3084.68+10534.46+2857.36+14538.21+2604.54</f>
        <v>33619.25</v>
      </c>
      <c r="H218" s="18">
        <f>16779.04</f>
        <v>16779.04</v>
      </c>
      <c r="I218" s="18">
        <f>3748</f>
        <v>3748</v>
      </c>
      <c r="J218" s="18">
        <f>965.7</f>
        <v>965.7</v>
      </c>
      <c r="K218" s="18">
        <f>3942.5</f>
        <v>3942.5</v>
      </c>
      <c r="L218" s="19">
        <f>SUM(F218:K218)</f>
        <v>184626.09000000003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313147.6+120548.13+82742.91+126329.56+32266+61603.47+34863.19</f>
        <v>771500.85999999987</v>
      </c>
      <c r="G220" s="18">
        <f>138297.23+50265.43+42695.87+48985.41+2468.18+12256.64+7726.75+20335.44</f>
        <v>323030.95</v>
      </c>
      <c r="H220" s="18">
        <f>10368+2779.5+13235.59+10238.06</f>
        <v>36621.15</v>
      </c>
      <c r="I220" s="18">
        <f>629.41+2010.17+2540.01</f>
        <v>5179.59</v>
      </c>
      <c r="J220" s="18">
        <f>2621.64</f>
        <v>2621.64</v>
      </c>
      <c r="K220" s="18">
        <f>450.08</f>
        <v>450.08</v>
      </c>
      <c r="L220" s="19">
        <f t="shared" ref="L220:L226" si="2">SUM(F220:K220)</f>
        <v>1139404.2699999998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18710+212736.13+21634.76+115280.29</f>
        <v>368361.18</v>
      </c>
      <c r="G221" s="18">
        <f>4668.94+93168.64+11724.14+81705.83+7012.22</f>
        <v>198279.77</v>
      </c>
      <c r="H221" s="18">
        <f>1462.69+184099.33</f>
        <v>185562.02</v>
      </c>
      <c r="I221" s="18">
        <f>13732.28+807.44+3030.61+70208.92</f>
        <v>87779.25</v>
      </c>
      <c r="J221" s="18">
        <f>24092.37</f>
        <v>24092.37</v>
      </c>
      <c r="K221" s="18">
        <f>21.38</f>
        <v>21.38</v>
      </c>
      <c r="L221" s="19">
        <f t="shared" si="2"/>
        <v>864095.97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109513.69</f>
        <v>109513.69</v>
      </c>
      <c r="G222" s="18">
        <f>44042.1</f>
        <v>44042.1</v>
      </c>
      <c r="H222" s="18">
        <f>51900.74</f>
        <v>51900.74</v>
      </c>
      <c r="I222" s="18">
        <f>5038.8</f>
        <v>5038.8</v>
      </c>
      <c r="J222" s="18">
        <f>419.04</f>
        <v>419.04</v>
      </c>
      <c r="K222" s="18">
        <f>530+2089.64</f>
        <v>2619.64</v>
      </c>
      <c r="L222" s="19">
        <f t="shared" si="2"/>
        <v>213534.01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652669.58</f>
        <v>652669.57999999996</v>
      </c>
      <c r="G223" s="18">
        <f>294006.64+18031.42</f>
        <v>312038.06</v>
      </c>
      <c r="H223" s="18">
        <f>15059.61</f>
        <v>15059.61</v>
      </c>
      <c r="I223" s="18">
        <f>4306.8</f>
        <v>4306.8</v>
      </c>
      <c r="J223" s="18"/>
      <c r="K223" s="18">
        <f>3784</f>
        <v>3784</v>
      </c>
      <c r="L223" s="19">
        <f t="shared" si="2"/>
        <v>987858.04999999993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f>87889.76</f>
        <v>87889.76</v>
      </c>
      <c r="G224" s="18">
        <f>38491.57</f>
        <v>38491.57</v>
      </c>
      <c r="H224" s="18">
        <f>3164.96</f>
        <v>3164.96</v>
      </c>
      <c r="I224" s="18">
        <f>255.79</f>
        <v>255.79</v>
      </c>
      <c r="J224" s="18">
        <f>797.76</f>
        <v>797.76</v>
      </c>
      <c r="K224" s="18">
        <f>613.02</f>
        <v>613.02</v>
      </c>
      <c r="L224" s="19">
        <f t="shared" si="2"/>
        <v>131212.85999999999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259060.25+99236.96</f>
        <v>358297.21</v>
      </c>
      <c r="G225" s="18">
        <f>119516.4+43134.6+7112.39</f>
        <v>169763.39</v>
      </c>
      <c r="H225" s="18">
        <f>938.82+104062.07+116665.89</f>
        <v>221666.78000000003</v>
      </c>
      <c r="I225" s="18">
        <f>24676.28+218379.3+14006.48</f>
        <v>257062.06</v>
      </c>
      <c r="J225" s="18">
        <f>45037.07+20670.57</f>
        <v>65707.64</v>
      </c>
      <c r="K225" s="18">
        <f>127.74</f>
        <v>127.74</v>
      </c>
      <c r="L225" s="19">
        <f t="shared" si="2"/>
        <v>1072624.82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340211.67</f>
        <v>340211.67</v>
      </c>
      <c r="G226" s="18">
        <f>120022.97</f>
        <v>120022.97</v>
      </c>
      <c r="H226" s="18">
        <f>37317.5+2742.52+114126.62</f>
        <v>154186.63999999998</v>
      </c>
      <c r="I226" s="18">
        <f>53338.28</f>
        <v>53338.28</v>
      </c>
      <c r="J226" s="18">
        <f>967.02</f>
        <v>967.02</v>
      </c>
      <c r="K226" s="18">
        <f>411.35</f>
        <v>411.35</v>
      </c>
      <c r="L226" s="19">
        <f t="shared" si="2"/>
        <v>669137.93000000005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57109.86</f>
        <v>57109.86</v>
      </c>
      <c r="G227" s="18">
        <f>30057.12</f>
        <v>30057.119999999999</v>
      </c>
      <c r="H227" s="18">
        <f>17027.96</f>
        <v>17027.96</v>
      </c>
      <c r="I227" s="18">
        <f>2321.35</f>
        <v>2321.35</v>
      </c>
      <c r="J227" s="18"/>
      <c r="K227" s="18"/>
      <c r="L227" s="19">
        <f>SUM(F227:K227)</f>
        <v>106516.29000000001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8707474.9099999983</v>
      </c>
      <c r="G229" s="41">
        <f>SUM(G215:G228)</f>
        <v>3992940.9300000011</v>
      </c>
      <c r="H229" s="41">
        <f>SUM(H215:H228)</f>
        <v>1410501.19</v>
      </c>
      <c r="I229" s="41">
        <f>SUM(I215:I228)</f>
        <v>486866.08999999997</v>
      </c>
      <c r="J229" s="41">
        <f>SUM(J215:J228)</f>
        <v>111349.07</v>
      </c>
      <c r="K229" s="41">
        <f t="shared" si="3"/>
        <v>13914.650000000001</v>
      </c>
      <c r="L229" s="41">
        <f t="shared" si="3"/>
        <v>14723046.84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5982079.39+16649.37+101200.22+1392.53</f>
        <v>6101321.5099999998</v>
      </c>
      <c r="G233" s="18">
        <f>2840856.33+1303.05+164987.51</f>
        <v>3007146.8899999997</v>
      </c>
      <c r="H233" s="18">
        <f>353201.13+546.7</f>
        <v>353747.83</v>
      </c>
      <c r="I233" s="18">
        <f>110535.34</f>
        <v>110535.34</v>
      </c>
      <c r="J233" s="18">
        <f>17556.56</f>
        <v>17556.560000000001</v>
      </c>
      <c r="K233" s="18">
        <f>1000+3212.15</f>
        <v>4212.1499999999996</v>
      </c>
      <c r="L233" s="19">
        <f>SUM(F233:K233)</f>
        <v>9594520.2799999993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852593.87+1476459.42+262049.39+23.4</f>
        <v>2591126.08</v>
      </c>
      <c r="G234" s="18">
        <f>259738.96+703925.15+114422.7+1.79</f>
        <v>1078088.6000000001</v>
      </c>
      <c r="H234" s="18">
        <f>1144906.66+116432.33+13074.81+26042.65</f>
        <v>1300456.45</v>
      </c>
      <c r="I234" s="18">
        <f>324.65+6827.11+5117.31+2923.65</f>
        <v>15192.72</v>
      </c>
      <c r="J234" s="18">
        <f>989.72</f>
        <v>989.72</v>
      </c>
      <c r="K234" s="18">
        <f>341.91</f>
        <v>341.91</v>
      </c>
      <c r="L234" s="19">
        <f>SUM(F234:K234)</f>
        <v>4986195.4799999995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f>100618.86+157536.05+55126.5+213140.95+404451.06</f>
        <v>930873.41999999993</v>
      </c>
      <c r="G235" s="18">
        <f>73784.87+77996.62+24621.48+121956.9+148916.09+71524.64+25644.69</f>
        <v>544445.28999999992</v>
      </c>
      <c r="H235" s="18">
        <f>5736.81+6726.82+4983.12</f>
        <v>17446.75</v>
      </c>
      <c r="I235" s="18">
        <f>15029.38+459.31+544.47+13171.17+22442.4</f>
        <v>51646.729999999996</v>
      </c>
      <c r="J235" s="18">
        <f>485.14</f>
        <v>485.14</v>
      </c>
      <c r="K235" s="18"/>
      <c r="L235" s="19">
        <f>SUM(F235:K235)</f>
        <v>1544897.3299999998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71937+231186+9975+50920.55</f>
        <v>364018.55</v>
      </c>
      <c r="G236" s="18">
        <f>17244.81+33425.04+1257.9+24010.49+8615.01</f>
        <v>84553.25</v>
      </c>
      <c r="H236" s="18">
        <f>144798.48</f>
        <v>144798.48000000001</v>
      </c>
      <c r="I236" s="18">
        <f>29082.36</f>
        <v>29082.36</v>
      </c>
      <c r="J236" s="18">
        <f>3685.96</f>
        <v>3685.96</v>
      </c>
      <c r="K236" s="18">
        <f>25319.32</f>
        <v>25319.32</v>
      </c>
      <c r="L236" s="19">
        <f>SUM(F236:K236)</f>
        <v>651457.91999999993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621474.51+146722.16+123057.66+120310.55+57287.69+63240+49736.24</f>
        <v>1181828.81</v>
      </c>
      <c r="G238" s="18">
        <f>311127.26+87612.02+46797.46+46134.19+24538.05+1289.45+40655.2+11023.08+31254.46</f>
        <v>600431.16999999993</v>
      </c>
      <c r="H238" s="18">
        <f>15744+929.4+16774.15+16576.92+14743.99</f>
        <v>64768.46</v>
      </c>
      <c r="I238" s="18">
        <f>1211.19+1590.68+3623.61</f>
        <v>6425.48</v>
      </c>
      <c r="J238" s="18">
        <f>3740.06</f>
        <v>3740.06</v>
      </c>
      <c r="K238" s="18">
        <f>402.5+90+642.1</f>
        <v>1134.5999999999999</v>
      </c>
      <c r="L238" s="19">
        <f t="shared" ref="L238:L244" si="4">SUM(F238:K238)</f>
        <v>1858328.58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33556.64+219403.96+22188.78+187473.91</f>
        <v>462623.29000000004</v>
      </c>
      <c r="G239" s="18">
        <f>18306.48+117579.86+3997.29+131157.96+7613.27</f>
        <v>278654.86</v>
      </c>
      <c r="H239" s="18">
        <f>5016.96+303510.47</f>
        <v>308527.43</v>
      </c>
      <c r="I239" s="18">
        <f>29033.05+1237.6+11051.26+115575.38</f>
        <v>156897.29</v>
      </c>
      <c r="J239" s="18">
        <f>1224.9+39789.6</f>
        <v>41014.5</v>
      </c>
      <c r="K239" s="18">
        <f>35.31</f>
        <v>35.31</v>
      </c>
      <c r="L239" s="19">
        <f t="shared" si="4"/>
        <v>1247752.6800000002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180866.63</f>
        <v>180866.63</v>
      </c>
      <c r="G240" s="18">
        <f>72737.44</f>
        <v>72737.440000000002</v>
      </c>
      <c r="H240" s="18">
        <f>85716.33</f>
        <v>85716.33</v>
      </c>
      <c r="I240" s="18">
        <f>8321.79</f>
        <v>8321.7900000000009</v>
      </c>
      <c r="J240" s="18">
        <f>692.07</f>
        <v>692.07</v>
      </c>
      <c r="K240" s="18">
        <f>530+3451.12</f>
        <v>3981.12</v>
      </c>
      <c r="L240" s="19">
        <f t="shared" si="4"/>
        <v>352315.38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1126459.63</f>
        <v>1126459.6299999999</v>
      </c>
      <c r="G241" s="18">
        <f>505798.29+31054.12+2304.02</f>
        <v>539156.43000000005</v>
      </c>
      <c r="H241" s="18">
        <f>18205.74+10760.87</f>
        <v>28966.61</v>
      </c>
      <c r="I241" s="18">
        <f>9113.25+387</f>
        <v>9500.25</v>
      </c>
      <c r="J241" s="18">
        <f>8949+0</f>
        <v>8949</v>
      </c>
      <c r="K241" s="18">
        <f>10496.43+792</f>
        <v>11288.43</v>
      </c>
      <c r="L241" s="19">
        <f t="shared" si="4"/>
        <v>1724320.35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f>42000+137466.29</f>
        <v>179466.29</v>
      </c>
      <c r="G242" s="18">
        <f>16448+60203.74+1202.09</f>
        <v>77853.829999999987</v>
      </c>
      <c r="H242" s="18">
        <f>28945.42+4950.24</f>
        <v>33895.659999999996</v>
      </c>
      <c r="I242" s="18">
        <f>31695.33+400.08</f>
        <v>32095.410000000003</v>
      </c>
      <c r="J242" s="18">
        <f>36446.72+1247.75</f>
        <v>37694.47</v>
      </c>
      <c r="K242" s="18">
        <f>958.8</f>
        <v>958.8</v>
      </c>
      <c r="L242" s="19">
        <f t="shared" si="4"/>
        <v>361964.4599999999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530307.17+6623.74+209511.29</f>
        <v>746442.20000000007</v>
      </c>
      <c r="G243" s="18">
        <f>201951.99+1296.77+91066.72+14825.84</f>
        <v>309141.32</v>
      </c>
      <c r="H243" s="18">
        <f>1526.09+216463.16+246307.63</f>
        <v>464296.88</v>
      </c>
      <c r="I243" s="18">
        <f>40993.54+724458.66+157.77+29570.8</f>
        <v>795180.77000000014</v>
      </c>
      <c r="J243" s="18">
        <f>19644.13+2965.97+43640.18</f>
        <v>66250.28</v>
      </c>
      <c r="K243" s="18">
        <f>269.7</f>
        <v>269.7</v>
      </c>
      <c r="L243" s="19">
        <f t="shared" si="4"/>
        <v>2381581.15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561874.37</f>
        <v>561874.37</v>
      </c>
      <c r="G244" s="18">
        <f>198223.18</f>
        <v>198223.18</v>
      </c>
      <c r="H244" s="18">
        <f>3648.26+153235.28+20130.69+188485.07</f>
        <v>365499.30000000005</v>
      </c>
      <c r="I244" s="18">
        <f>88090.5</f>
        <v>88090.5</v>
      </c>
      <c r="J244" s="18">
        <f>1597.07</f>
        <v>1597.07</v>
      </c>
      <c r="K244" s="18">
        <f>679.36</f>
        <v>679.36</v>
      </c>
      <c r="L244" s="19">
        <f t="shared" si="4"/>
        <v>1215963.7800000003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89324.18</f>
        <v>89324.18</v>
      </c>
      <c r="G245" s="18">
        <f>47011.62</f>
        <v>47011.62</v>
      </c>
      <c r="H245" s="18">
        <f>26633.04</f>
        <v>26633.040000000001</v>
      </c>
      <c r="I245" s="18">
        <f>3630.77</f>
        <v>3630.77</v>
      </c>
      <c r="J245" s="18"/>
      <c r="K245" s="18"/>
      <c r="L245" s="19">
        <f>SUM(F245:K245)</f>
        <v>166599.60999999999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14516224.959999999</v>
      </c>
      <c r="G247" s="41">
        <f t="shared" si="5"/>
        <v>6837443.8799999999</v>
      </c>
      <c r="H247" s="41">
        <f t="shared" si="5"/>
        <v>3194753.2199999997</v>
      </c>
      <c r="I247" s="41">
        <f t="shared" si="5"/>
        <v>1306599.4100000001</v>
      </c>
      <c r="J247" s="41">
        <f t="shared" si="5"/>
        <v>182654.83000000002</v>
      </c>
      <c r="K247" s="41">
        <f t="shared" si="5"/>
        <v>48220.7</v>
      </c>
      <c r="L247" s="41">
        <f t="shared" si="5"/>
        <v>26085896.999999996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f>93655</f>
        <v>93655</v>
      </c>
      <c r="G251" s="18">
        <f>21444.06+2604.54</f>
        <v>24048.600000000002</v>
      </c>
      <c r="H251" s="18">
        <f>42035.14</f>
        <v>42035.14</v>
      </c>
      <c r="I251" s="18">
        <f>9900.03</f>
        <v>9900.0300000000007</v>
      </c>
      <c r="J251" s="18"/>
      <c r="K251" s="18">
        <f>2813.38</f>
        <v>2813.38</v>
      </c>
      <c r="L251" s="19">
        <f t="shared" si="6"/>
        <v>172452.15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f>83255.81</f>
        <v>83255.81</v>
      </c>
      <c r="G255" s="18">
        <v>24606.52</v>
      </c>
      <c r="H255" s="18">
        <f>36850+26980.79+36265</f>
        <v>100095.79000000001</v>
      </c>
      <c r="I255" s="18">
        <f>967.24</f>
        <v>967.24</v>
      </c>
      <c r="J255" s="18"/>
      <c r="K255" s="18"/>
      <c r="L255" s="19">
        <f t="shared" si="6"/>
        <v>208925.36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176910.81</v>
      </c>
      <c r="G256" s="41">
        <f t="shared" si="7"/>
        <v>48655.12</v>
      </c>
      <c r="H256" s="41">
        <f t="shared" si="7"/>
        <v>142130.93</v>
      </c>
      <c r="I256" s="41">
        <f t="shared" si="7"/>
        <v>10867.27</v>
      </c>
      <c r="J256" s="41">
        <f t="shared" si="7"/>
        <v>0</v>
      </c>
      <c r="K256" s="41">
        <f t="shared" si="7"/>
        <v>2813.38</v>
      </c>
      <c r="L256" s="41">
        <f>SUM(F256:K256)</f>
        <v>381377.51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40848941.450000003</v>
      </c>
      <c r="G257" s="41">
        <f t="shared" si="8"/>
        <v>18835306.280000001</v>
      </c>
      <c r="H257" s="41">
        <f t="shared" si="8"/>
        <v>7212934.1799999997</v>
      </c>
      <c r="I257" s="41">
        <f t="shared" si="8"/>
        <v>2942204.0100000002</v>
      </c>
      <c r="J257" s="41">
        <f t="shared" si="8"/>
        <v>427265.83999999997</v>
      </c>
      <c r="K257" s="41">
        <f t="shared" si="8"/>
        <v>83024.83</v>
      </c>
      <c r="L257" s="41">
        <f t="shared" si="8"/>
        <v>70349676.590000004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f>270000+3113206.81</f>
        <v>3383206.81</v>
      </c>
      <c r="L260" s="19">
        <f>SUM(F260:K260)</f>
        <v>3383206.81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f>138253.5+2464142.5</f>
        <v>2602396</v>
      </c>
      <c r="L261" s="19">
        <f>SUM(F261:K261)</f>
        <v>2602396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f>100000</f>
        <v>100000</v>
      </c>
      <c r="L263" s="19">
        <f>SUM(F263:K263)</f>
        <v>100000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145398+427080</f>
        <v>572478</v>
      </c>
      <c r="L266" s="19">
        <f t="shared" si="9"/>
        <v>572478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f>66064.06</f>
        <v>66064.06</v>
      </c>
      <c r="L268" s="19">
        <f t="shared" si="9"/>
        <v>66064.06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6724144.8700000001</v>
      </c>
      <c r="L270" s="41">
        <f t="shared" si="9"/>
        <v>6724144.8700000001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40848941.450000003</v>
      </c>
      <c r="G271" s="42">
        <f t="shared" si="11"/>
        <v>18835306.280000001</v>
      </c>
      <c r="H271" s="42">
        <f t="shared" si="11"/>
        <v>7212934.1799999997</v>
      </c>
      <c r="I271" s="42">
        <f t="shared" si="11"/>
        <v>2942204.0100000002</v>
      </c>
      <c r="J271" s="42">
        <f t="shared" si="11"/>
        <v>427265.83999999997</v>
      </c>
      <c r="K271" s="42">
        <f t="shared" si="11"/>
        <v>6807169.7000000002</v>
      </c>
      <c r="L271" s="42">
        <f t="shared" si="11"/>
        <v>77073821.460000008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534267.56+3378.18</f>
        <v>537645.74000000011</v>
      </c>
      <c r="G276" s="18">
        <f>113609.34+258.48</f>
        <v>113867.81999999999</v>
      </c>
      <c r="H276" s="18">
        <f>7021.86</f>
        <v>7021.86</v>
      </c>
      <c r="I276" s="18">
        <f>80537.64+12036.12</f>
        <v>92573.759999999995</v>
      </c>
      <c r="J276" s="18">
        <f>0</f>
        <v>0</v>
      </c>
      <c r="K276" s="18"/>
      <c r="L276" s="19">
        <f>SUM(F276:K276)</f>
        <v>751109.18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500813.57+34874.78</f>
        <v>535688.35</v>
      </c>
      <c r="G277" s="18">
        <f>217365.7+8466.25</f>
        <v>225831.95</v>
      </c>
      <c r="H277" s="18"/>
      <c r="I277" s="18">
        <f>1488+3184.47</f>
        <v>4672.4699999999993</v>
      </c>
      <c r="J277" s="18"/>
      <c r="K277" s="18"/>
      <c r="L277" s="19">
        <f>SUM(F277:K277)</f>
        <v>766192.77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199+82694.46+149095.68+15101</f>
        <v>247090.14</v>
      </c>
      <c r="G279" s="18">
        <f>32.49+14077.81+17305.51+2314.23</f>
        <v>33730.04</v>
      </c>
      <c r="H279" s="18">
        <f>400</f>
        <v>400</v>
      </c>
      <c r="I279" s="18">
        <f>1494.22+2850.53+6379.92</f>
        <v>10724.67</v>
      </c>
      <c r="J279" s="18">
        <f>2477.39</f>
        <v>2477.39</v>
      </c>
      <c r="K279" s="18">
        <f>198</f>
        <v>198</v>
      </c>
      <c r="L279" s="19">
        <f>SUM(F279:K279)</f>
        <v>294620.24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835.9+172309.11+26090.7</f>
        <v>199235.71</v>
      </c>
      <c r="G281" s="18">
        <f>197.42+37718.11+5424.74</f>
        <v>43340.27</v>
      </c>
      <c r="H281" s="18">
        <f>51257.4</f>
        <v>51257.4</v>
      </c>
      <c r="I281" s="18">
        <f>150</f>
        <v>150</v>
      </c>
      <c r="J281" s="18">
        <f>5000</f>
        <v>5000</v>
      </c>
      <c r="K281" s="18"/>
      <c r="L281" s="19">
        <f t="shared" ref="L281:L287" si="12">SUM(F281:K281)</f>
        <v>298983.38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55638.92+5864.68+65623.41</f>
        <v>127127.01000000001</v>
      </c>
      <c r="G282" s="18">
        <f>16852.19+1779.47+12474.42</f>
        <v>31106.080000000002</v>
      </c>
      <c r="H282" s="18">
        <f>20508.16+104440.59</f>
        <v>124948.75</v>
      </c>
      <c r="I282" s="18">
        <f>13269.35+2565.72+25798.14</f>
        <v>41633.21</v>
      </c>
      <c r="J282" s="18">
        <f>4095.57</f>
        <v>4095.57</v>
      </c>
      <c r="K282" s="18"/>
      <c r="L282" s="19">
        <f t="shared" si="12"/>
        <v>328910.62000000005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106670.75+44911.2</f>
        <v>151581.95000000001</v>
      </c>
      <c r="G283" s="18">
        <f>55521.01+22075.82</f>
        <v>77596.83</v>
      </c>
      <c r="H283" s="18">
        <f>47834.21+83679.91</f>
        <v>131514.12</v>
      </c>
      <c r="I283" s="18">
        <f>2479.45+1693.48</f>
        <v>4172.93</v>
      </c>
      <c r="J283" s="18"/>
      <c r="K283" s="18"/>
      <c r="L283" s="19">
        <f t="shared" si="12"/>
        <v>364865.83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32520.62</f>
        <v>32520.62</v>
      </c>
      <c r="I287" s="18"/>
      <c r="J287" s="18"/>
      <c r="K287" s="18"/>
      <c r="L287" s="19">
        <f t="shared" si="12"/>
        <v>32520.62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1798368.9</v>
      </c>
      <c r="G290" s="42">
        <f t="shared" si="13"/>
        <v>525472.99</v>
      </c>
      <c r="H290" s="42">
        <f t="shared" si="13"/>
        <v>347662.75</v>
      </c>
      <c r="I290" s="42">
        <f t="shared" si="13"/>
        <v>153927.03999999998</v>
      </c>
      <c r="J290" s="42">
        <f t="shared" si="13"/>
        <v>11572.96</v>
      </c>
      <c r="K290" s="42">
        <f t="shared" si="13"/>
        <v>198</v>
      </c>
      <c r="L290" s="41">
        <f t="shared" si="13"/>
        <v>2837202.6400000006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33700.53+1667.64</f>
        <v>35368.17</v>
      </c>
      <c r="G295" s="18">
        <f>10013.44+127.6</f>
        <v>10141.040000000001</v>
      </c>
      <c r="H295" s="18"/>
      <c r="I295" s="18">
        <f>17243.33+5941.63</f>
        <v>23184.960000000003</v>
      </c>
      <c r="J295" s="18">
        <f>579+6999.87</f>
        <v>7578.87</v>
      </c>
      <c r="K295" s="18"/>
      <c r="L295" s="19">
        <f>SUM(F295:K295)</f>
        <v>76273.039999999994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321825.83</f>
        <v>321825.83</v>
      </c>
      <c r="G296" s="18">
        <f>130857.62</f>
        <v>130857.62</v>
      </c>
      <c r="H296" s="18"/>
      <c r="I296" s="18">
        <f>1484</f>
        <v>1484</v>
      </c>
      <c r="J296" s="18"/>
      <c r="K296" s="18"/>
      <c r="L296" s="19">
        <f>SUM(F296:K296)</f>
        <v>454167.45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599+22356+0+7454.62</f>
        <v>30409.62</v>
      </c>
      <c r="G298" s="18">
        <f>149.37+4313.48+0+1142.42</f>
        <v>5605.2699999999995</v>
      </c>
      <c r="H298" s="18">
        <f>0</f>
        <v>0</v>
      </c>
      <c r="I298" s="18">
        <f>1683.11+3149.45</f>
        <v>4832.5599999999995</v>
      </c>
      <c r="J298" s="18">
        <f>1084.54</f>
        <v>1084.54</v>
      </c>
      <c r="K298" s="18">
        <f>275</f>
        <v>275</v>
      </c>
      <c r="L298" s="19">
        <f>SUM(F298:K298)</f>
        <v>42206.99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12879.69</f>
        <v>12879.69</v>
      </c>
      <c r="G300" s="18">
        <f>2677.93</f>
        <v>2677.93</v>
      </c>
      <c r="H300" s="18"/>
      <c r="I300" s="18">
        <v>124.54</v>
      </c>
      <c r="J300" s="18"/>
      <c r="K300" s="18"/>
      <c r="L300" s="19">
        <f t="shared" ref="L300:L306" si="14">SUM(F300:K300)</f>
        <v>15682.160000000002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25409.78</f>
        <v>25409.78</v>
      </c>
      <c r="G301" s="18">
        <f>4830.17</f>
        <v>4830.17</v>
      </c>
      <c r="H301" s="18">
        <f>40440.03</f>
        <v>40440.03</v>
      </c>
      <c r="I301" s="18">
        <f>9989.19</f>
        <v>9989.19</v>
      </c>
      <c r="J301" s="18">
        <f>1585.83</f>
        <v>1585.83</v>
      </c>
      <c r="K301" s="18"/>
      <c r="L301" s="19">
        <f t="shared" si="14"/>
        <v>82255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f>22170.43</f>
        <v>22170.43</v>
      </c>
      <c r="G302" s="18">
        <f>10897.74</f>
        <v>10897.74</v>
      </c>
      <c r="H302" s="18">
        <f>41308.62</f>
        <v>41308.620000000003</v>
      </c>
      <c r="I302" s="18">
        <f>835.98</f>
        <v>835.98</v>
      </c>
      <c r="J302" s="18"/>
      <c r="K302" s="18"/>
      <c r="L302" s="19">
        <f t="shared" si="14"/>
        <v>75212.77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448063.51999999996</v>
      </c>
      <c r="G309" s="42">
        <f t="shared" si="15"/>
        <v>165009.76999999999</v>
      </c>
      <c r="H309" s="42">
        <f t="shared" si="15"/>
        <v>81748.649999999994</v>
      </c>
      <c r="I309" s="42">
        <f t="shared" si="15"/>
        <v>40451.23000000001</v>
      </c>
      <c r="J309" s="42">
        <f t="shared" si="15"/>
        <v>10249.24</v>
      </c>
      <c r="K309" s="42">
        <f t="shared" si="15"/>
        <v>275</v>
      </c>
      <c r="L309" s="41">
        <f t="shared" si="15"/>
        <v>745797.41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2760+2754.18</f>
        <v>5514.18</v>
      </c>
      <c r="G314" s="18">
        <f>471.52+210.73</f>
        <v>682.25</v>
      </c>
      <c r="H314" s="18">
        <f>2500</f>
        <v>2500</v>
      </c>
      <c r="I314" s="18">
        <f>6483.95+9812.87</f>
        <v>16296.82</v>
      </c>
      <c r="J314" s="18">
        <f>5459.08</f>
        <v>5459.08</v>
      </c>
      <c r="K314" s="18"/>
      <c r="L314" s="19">
        <f>SUM(F314:K314)</f>
        <v>30452.33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40125.94+22942.05</f>
        <v>63067.990000000005</v>
      </c>
      <c r="G315" s="18">
        <f>13866.9+6195.2</f>
        <v>20062.099999999999</v>
      </c>
      <c r="H315" s="18"/>
      <c r="I315" s="18">
        <f>2117.1</f>
        <v>2117.1</v>
      </c>
      <c r="J315" s="18"/>
      <c r="K315" s="18"/>
      <c r="L315" s="19">
        <f>SUM(F315:K315)</f>
        <v>85247.19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f>1699.12+111338.81</f>
        <v>113037.93</v>
      </c>
      <c r="G316" s="18">
        <f>129.99+43627.76</f>
        <v>43757.75</v>
      </c>
      <c r="H316" s="18">
        <f>17392+21703.69+8075.66</f>
        <v>47171.350000000006</v>
      </c>
      <c r="I316" s="18">
        <f>5344.54+623.2+38310.84+19227.45</f>
        <v>63506.03</v>
      </c>
      <c r="J316" s="18">
        <f>10314+66820.05+6137.8</f>
        <v>83271.850000000006</v>
      </c>
      <c r="K316" s="18">
        <f>2153+15225.04</f>
        <v>17378.04</v>
      </c>
      <c r="L316" s="19">
        <f>SUM(F316:K316)</f>
        <v>368122.95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f>1200+1968+12311.63</f>
        <v>15479.63</v>
      </c>
      <c r="G317" s="18">
        <f>194.05+150.54+1886.75</f>
        <v>2231.34</v>
      </c>
      <c r="H317" s="18"/>
      <c r="I317" s="18">
        <f>105.87+5201.46</f>
        <v>5307.33</v>
      </c>
      <c r="J317" s="18"/>
      <c r="K317" s="18">
        <f>5000</f>
        <v>5000</v>
      </c>
      <c r="L317" s="19">
        <f>SUM(F317:K317)</f>
        <v>28018.300000000003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16956.21+4440+21271.36</f>
        <v>42667.57</v>
      </c>
      <c r="G319" s="18">
        <f>1297.19+339.68+4422.71</f>
        <v>6059.58</v>
      </c>
      <c r="H319" s="18">
        <f>2600</f>
        <v>2600</v>
      </c>
      <c r="I319" s="18">
        <f>71.2</f>
        <v>71.2</v>
      </c>
      <c r="J319" s="18"/>
      <c r="K319" s="18"/>
      <c r="L319" s="19">
        <f t="shared" ref="L319:L325" si="16">SUM(F319:K319)</f>
        <v>51398.35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4806+39742.84</f>
        <v>44548.84</v>
      </c>
      <c r="G320" s="18">
        <f>1144.16+7554.75</f>
        <v>8698.91</v>
      </c>
      <c r="H320" s="18">
        <f>35263.6+225+525+63251.29</f>
        <v>99264.89</v>
      </c>
      <c r="I320" s="18">
        <f>1803.18+15623.86</f>
        <v>17427.04</v>
      </c>
      <c r="J320" s="18">
        <f>2480.35</f>
        <v>2480.35</v>
      </c>
      <c r="K320" s="18"/>
      <c r="L320" s="19">
        <f t="shared" si="16"/>
        <v>172420.03000000003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9279.99+36615.43</f>
        <v>45895.42</v>
      </c>
      <c r="G321" s="18">
        <f>703.64+17998.08</f>
        <v>18701.72</v>
      </c>
      <c r="H321" s="18">
        <f>367.76+68222.99</f>
        <v>68590.75</v>
      </c>
      <c r="I321" s="18">
        <f>1380.67</f>
        <v>1380.67</v>
      </c>
      <c r="J321" s="18"/>
      <c r="K321" s="18"/>
      <c r="L321" s="19">
        <f t="shared" si="16"/>
        <v>134568.56000000003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f>13802.19</f>
        <v>13802.19</v>
      </c>
      <c r="G322" s="18">
        <f>2859.52</f>
        <v>2859.52</v>
      </c>
      <c r="H322" s="18">
        <f>1112.19</f>
        <v>1112.19</v>
      </c>
      <c r="I322" s="18"/>
      <c r="J322" s="18"/>
      <c r="K322" s="18"/>
      <c r="L322" s="19">
        <f t="shared" si="16"/>
        <v>17773.899999999998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f>24721.36+117884.31</f>
        <v>142605.66999999998</v>
      </c>
      <c r="I325" s="18"/>
      <c r="J325" s="18"/>
      <c r="K325" s="18"/>
      <c r="L325" s="19">
        <f t="shared" si="16"/>
        <v>142605.66999999998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344013.75</v>
      </c>
      <c r="G328" s="42">
        <f t="shared" si="17"/>
        <v>103053.17000000001</v>
      </c>
      <c r="H328" s="42">
        <f t="shared" si="17"/>
        <v>363844.85</v>
      </c>
      <c r="I328" s="42">
        <f t="shared" si="17"/>
        <v>106106.18999999999</v>
      </c>
      <c r="J328" s="42">
        <f t="shared" si="17"/>
        <v>91211.280000000013</v>
      </c>
      <c r="K328" s="42">
        <f t="shared" si="17"/>
        <v>22378.04</v>
      </c>
      <c r="L328" s="41">
        <f t="shared" si="17"/>
        <v>1030607.28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67091</f>
        <v>67091</v>
      </c>
      <c r="G333" s="18">
        <f>10767.7</f>
        <v>10767.7</v>
      </c>
      <c r="H333" s="18">
        <f>115.1</f>
        <v>115.1</v>
      </c>
      <c r="I333" s="18">
        <f>14837.44</f>
        <v>14837.44</v>
      </c>
      <c r="J333" s="18">
        <f>3864.26</f>
        <v>3864.26</v>
      </c>
      <c r="K333" s="18"/>
      <c r="L333" s="19">
        <f t="shared" si="18"/>
        <v>96675.5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>
        <f>18343</f>
        <v>18343</v>
      </c>
      <c r="I336" s="18"/>
      <c r="J336" s="18">
        <f>14773.02</f>
        <v>14773.02</v>
      </c>
      <c r="K336" s="18"/>
      <c r="L336" s="19">
        <f t="shared" si="18"/>
        <v>33116.020000000004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67091</v>
      </c>
      <c r="G337" s="41">
        <f t="shared" si="19"/>
        <v>10767.7</v>
      </c>
      <c r="H337" s="41">
        <f t="shared" si="19"/>
        <v>18458.099999999999</v>
      </c>
      <c r="I337" s="41">
        <f t="shared" si="19"/>
        <v>14837.44</v>
      </c>
      <c r="J337" s="41">
        <f t="shared" si="19"/>
        <v>18637.28</v>
      </c>
      <c r="K337" s="41">
        <f t="shared" si="19"/>
        <v>0</v>
      </c>
      <c r="L337" s="41">
        <f t="shared" si="18"/>
        <v>129791.51999999999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2657537.17</v>
      </c>
      <c r="G338" s="41">
        <f t="shared" si="20"/>
        <v>804303.63</v>
      </c>
      <c r="H338" s="41">
        <f t="shared" si="20"/>
        <v>811714.35</v>
      </c>
      <c r="I338" s="41">
        <f t="shared" si="20"/>
        <v>315321.89999999997</v>
      </c>
      <c r="J338" s="41">
        <f t="shared" si="20"/>
        <v>131670.76</v>
      </c>
      <c r="K338" s="41">
        <f t="shared" si="20"/>
        <v>22851.040000000001</v>
      </c>
      <c r="L338" s="41">
        <f t="shared" si="20"/>
        <v>4743398.8500000006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80663.320000000007</v>
      </c>
      <c r="L344" s="19">
        <f t="shared" ref="L344:L350" si="21">SUM(F344:K344)</f>
        <v>80663.320000000007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80663.320000000007</v>
      </c>
      <c r="L351" s="41">
        <f>SUM(L341:L350)</f>
        <v>80663.320000000007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2657537.17</v>
      </c>
      <c r="G352" s="41">
        <f>G338</f>
        <v>804303.63</v>
      </c>
      <c r="H352" s="41">
        <f>H338</f>
        <v>811714.35</v>
      </c>
      <c r="I352" s="41">
        <f>I338</f>
        <v>315321.89999999997</v>
      </c>
      <c r="J352" s="41">
        <f>J338</f>
        <v>131670.76</v>
      </c>
      <c r="K352" s="47">
        <f>K338+K351</f>
        <v>103514.36000000002</v>
      </c>
      <c r="L352" s="41">
        <f>L338+L351</f>
        <v>4824062.1700000009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232640.44+57118.84</f>
        <v>289759.28000000003</v>
      </c>
      <c r="G358" s="18">
        <f>68298.36+26389.43</f>
        <v>94687.790000000008</v>
      </c>
      <c r="H358" s="18">
        <f>13322.71+2064.13</f>
        <v>15386.84</v>
      </c>
      <c r="I358" s="18">
        <f>404666.04+52178.97</f>
        <v>456845.01</v>
      </c>
      <c r="J358" s="18">
        <f>625</f>
        <v>625</v>
      </c>
      <c r="K358" s="18">
        <f>801.45</f>
        <v>801.45</v>
      </c>
      <c r="L358" s="13">
        <f>SUM(F358:K358)</f>
        <v>858105.37000000011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78693+28196.74</f>
        <v>106889.74</v>
      </c>
      <c r="G359" s="18">
        <f>9357.99+13027.16</f>
        <v>22385.15</v>
      </c>
      <c r="H359" s="18">
        <f>2775+1018.96</f>
        <v>3793.96</v>
      </c>
      <c r="I359" s="18">
        <f>178697.57+25758.17</f>
        <v>204455.74</v>
      </c>
      <c r="J359" s="18"/>
      <c r="K359" s="18">
        <f>179.35+395.64</f>
        <v>574.99</v>
      </c>
      <c r="L359" s="19">
        <f>SUM(F359:K359)</f>
        <v>338099.57999999996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163249.91+46568.14</f>
        <v>209818.05</v>
      </c>
      <c r="G360" s="18">
        <f>33555.95+21514.91</f>
        <v>55070.86</v>
      </c>
      <c r="H360" s="18">
        <f>4419.75+1682.85</f>
        <v>6102.6</v>
      </c>
      <c r="I360" s="18">
        <f>328905.63+42540.74</f>
        <v>371446.37</v>
      </c>
      <c r="J360" s="18"/>
      <c r="K360" s="18">
        <f>625.3+653.41</f>
        <v>1278.71</v>
      </c>
      <c r="L360" s="19">
        <f>SUM(F360:K360)</f>
        <v>643716.58999999985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606467.07000000007</v>
      </c>
      <c r="G362" s="47">
        <f t="shared" si="22"/>
        <v>172143.8</v>
      </c>
      <c r="H362" s="47">
        <f t="shared" si="22"/>
        <v>25283.4</v>
      </c>
      <c r="I362" s="47">
        <f t="shared" si="22"/>
        <v>1032747.12</v>
      </c>
      <c r="J362" s="47">
        <f t="shared" si="22"/>
        <v>625</v>
      </c>
      <c r="K362" s="47">
        <f t="shared" si="22"/>
        <v>2655.15</v>
      </c>
      <c r="L362" s="47">
        <f t="shared" si="22"/>
        <v>1839921.54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370353.14+45009.58</f>
        <v>415362.72000000003</v>
      </c>
      <c r="G367" s="18">
        <f>153376.05+22219</f>
        <v>175595.05</v>
      </c>
      <c r="H367" s="18">
        <f>298665.38+36695.64</f>
        <v>335361.02</v>
      </c>
      <c r="I367" s="56">
        <f>SUM(F367:H367)</f>
        <v>926318.79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34312.9+7169.39</f>
        <v>41482.29</v>
      </c>
      <c r="G368" s="63">
        <f>25321.52+3539.17</f>
        <v>28860.690000000002</v>
      </c>
      <c r="H368" s="63">
        <f>30240.25+5845.1</f>
        <v>36085.35</v>
      </c>
      <c r="I368" s="56">
        <f>SUM(F368:H368)</f>
        <v>106428.33000000002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456845.01</v>
      </c>
      <c r="G369" s="47">
        <f>SUM(G367:G368)</f>
        <v>204455.74</v>
      </c>
      <c r="H369" s="47">
        <f>SUM(H367:H368)</f>
        <v>371446.37</v>
      </c>
      <c r="I369" s="47">
        <f>SUM(I367:I368)</f>
        <v>1032747.1200000001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f>4446887.96</f>
        <v>4446887.96</v>
      </c>
      <c r="I379" s="18">
        <f>1083.75+4500</f>
        <v>5583.75</v>
      </c>
      <c r="J379" s="18"/>
      <c r="K379" s="18"/>
      <c r="L379" s="13">
        <f t="shared" si="23"/>
        <v>4452471.71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f>17675</f>
        <v>17675</v>
      </c>
      <c r="G380" s="18">
        <f>2816.22</f>
        <v>2816.22</v>
      </c>
      <c r="H380" s="18">
        <f>1505.72+12893.61+136434.52</f>
        <v>150833.84999999998</v>
      </c>
      <c r="I380" s="18">
        <f>558.98+5004.19+10544.68+15633.79</f>
        <v>31741.64</v>
      </c>
      <c r="J380" s="18">
        <f>16431.85+10040.46+50406+13014.88+266033.52+993783+2279.63</f>
        <v>1351989.3399999999</v>
      </c>
      <c r="K380" s="18"/>
      <c r="L380" s="13">
        <f t="shared" si="23"/>
        <v>1555056.0499999998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17675</v>
      </c>
      <c r="G382" s="139">
        <f t="shared" ref="G382:L382" si="24">SUM(G374:G381)</f>
        <v>2816.22</v>
      </c>
      <c r="H382" s="139">
        <f t="shared" si="24"/>
        <v>4597721.8099999996</v>
      </c>
      <c r="I382" s="41">
        <f t="shared" si="24"/>
        <v>37325.39</v>
      </c>
      <c r="J382" s="47">
        <f t="shared" si="24"/>
        <v>1351989.3399999999</v>
      </c>
      <c r="K382" s="47">
        <f t="shared" si="24"/>
        <v>0</v>
      </c>
      <c r="L382" s="47">
        <f t="shared" si="24"/>
        <v>6007527.7599999998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f>494458+78020</f>
        <v>572478</v>
      </c>
      <c r="H400" s="18">
        <f>20914.65+1606.11</f>
        <v>22520.760000000002</v>
      </c>
      <c r="I400" s="18">
        <f>17619.09</f>
        <v>17619.09</v>
      </c>
      <c r="J400" s="24" t="s">
        <v>286</v>
      </c>
      <c r="K400" s="24" t="s">
        <v>286</v>
      </c>
      <c r="L400" s="56">
        <f t="shared" si="26"/>
        <v>612617.85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572478</v>
      </c>
      <c r="H401" s="47">
        <f>SUM(H395:H400)</f>
        <v>22520.760000000002</v>
      </c>
      <c r="I401" s="47">
        <f>SUM(I395:I400)</f>
        <v>17619.09</v>
      </c>
      <c r="J401" s="45" t="s">
        <v>286</v>
      </c>
      <c r="K401" s="45" t="s">
        <v>286</v>
      </c>
      <c r="L401" s="47">
        <f>SUM(L395:L400)</f>
        <v>612617.85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572478</v>
      </c>
      <c r="H408" s="47">
        <f>H393+H401+H407</f>
        <v>22520.760000000002</v>
      </c>
      <c r="I408" s="47">
        <f>I393+I401+I407</f>
        <v>17619.09</v>
      </c>
      <c r="J408" s="24" t="s">
        <v>286</v>
      </c>
      <c r="K408" s="24" t="s">
        <v>286</v>
      </c>
      <c r="L408" s="47">
        <f>L393+L401+L407</f>
        <v>612617.85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f>168854.55</f>
        <v>168854.55</v>
      </c>
      <c r="L426" s="56">
        <f t="shared" si="29"/>
        <v>168854.55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168854.55</v>
      </c>
      <c r="L427" s="47">
        <f t="shared" si="30"/>
        <v>168854.55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>
        <v>19900</v>
      </c>
      <c r="I429" s="18"/>
      <c r="J429" s="18"/>
      <c r="K429" s="18"/>
      <c r="L429" s="56">
        <f>SUM(F429:K429)</f>
        <v>19900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19900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19900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19900</v>
      </c>
      <c r="I434" s="47">
        <f t="shared" si="32"/>
        <v>0</v>
      </c>
      <c r="J434" s="47">
        <f t="shared" si="32"/>
        <v>0</v>
      </c>
      <c r="K434" s="47">
        <f t="shared" si="32"/>
        <v>168854.55</v>
      </c>
      <c r="L434" s="47">
        <f t="shared" si="32"/>
        <v>188754.55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f>5872075.17+432955.47</f>
        <v>6305030.6399999997</v>
      </c>
      <c r="H440" s="18"/>
      <c r="I440" s="56">
        <f t="shared" si="33"/>
        <v>6305030.6399999997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f>-1797634.2+93749.4</f>
        <v>-1703884.8</v>
      </c>
      <c r="H441" s="18"/>
      <c r="I441" s="56">
        <f t="shared" si="33"/>
        <v>-1703884.8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4601145.84</v>
      </c>
      <c r="H446" s="13">
        <f>SUM(H439:H445)</f>
        <v>0</v>
      </c>
      <c r="I446" s="13">
        <f>SUM(I439:I445)</f>
        <v>4601145.84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f>-1830237.57+94099.4</f>
        <v>-1736138.1700000002</v>
      </c>
      <c r="H448" s="18"/>
      <c r="I448" s="56">
        <f>SUM(F448:H448)</f>
        <v>-1736138.1700000002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-1736138.1700000002</v>
      </c>
      <c r="H452" s="72">
        <f>SUM(H448:H451)</f>
        <v>0</v>
      </c>
      <c r="I452" s="72">
        <f>SUM(I448:I451)</f>
        <v>-1736138.1700000002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5904678.54+432605.47</f>
        <v>6337284.0099999998</v>
      </c>
      <c r="H459" s="18"/>
      <c r="I459" s="56">
        <f t="shared" si="34"/>
        <v>6337284.0099999998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6337284.0099999998</v>
      </c>
      <c r="H460" s="83">
        <f>SUM(H454:H459)</f>
        <v>0</v>
      </c>
      <c r="I460" s="83">
        <f>SUM(I454:I459)</f>
        <v>6337284.0099999998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4601145.84</v>
      </c>
      <c r="H461" s="42">
        <f>H452+H460</f>
        <v>0</v>
      </c>
      <c r="I461" s="42">
        <f>I452+I460</f>
        <v>4601145.84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2197326.69</v>
      </c>
      <c r="G465" s="18">
        <v>21224.52</v>
      </c>
      <c r="H465" s="18">
        <v>383223.65</v>
      </c>
      <c r="I465" s="18">
        <v>8323316.6500000004</v>
      </c>
      <c r="J465" s="18">
        <v>5913420.71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78873599.609999999</v>
      </c>
      <c r="G468" s="18">
        <f>1913587.42</f>
        <v>1913587.42</v>
      </c>
      <c r="H468" s="18">
        <v>4742494.2</v>
      </c>
      <c r="I468" s="18">
        <f>174490.75</f>
        <v>174490.75</v>
      </c>
      <c r="J468" s="18">
        <f>593392.65+19225.2</f>
        <v>612617.85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78873599.609999999</v>
      </c>
      <c r="G470" s="53">
        <f>SUM(G468:G469)</f>
        <v>1913587.42</v>
      </c>
      <c r="H470" s="53">
        <f>SUM(H468:H469)</f>
        <v>4742494.2</v>
      </c>
      <c r="I470" s="53">
        <f>SUM(I468:I469)</f>
        <v>174490.75</v>
      </c>
      <c r="J470" s="53">
        <f>SUM(J468:J469)</f>
        <v>612617.85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77073821.459999993</v>
      </c>
      <c r="G472" s="18">
        <v>1839921.54</v>
      </c>
      <c r="H472" s="18">
        <v>4824062.17</v>
      </c>
      <c r="I472" s="18">
        <v>6007527.7599999998</v>
      </c>
      <c r="J472" s="18">
        <f>168854.55+19900</f>
        <v>188754.55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77073821.459999993</v>
      </c>
      <c r="G474" s="53">
        <f>SUM(G472:G473)</f>
        <v>1839921.54</v>
      </c>
      <c r="H474" s="53">
        <f>SUM(H472:H473)</f>
        <v>4824062.17</v>
      </c>
      <c r="I474" s="53">
        <f>SUM(I472:I473)</f>
        <v>6007527.7599999998</v>
      </c>
      <c r="J474" s="53">
        <f>SUM(J472:J473)</f>
        <v>188754.55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3997104.8400000036</v>
      </c>
      <c r="G476" s="53">
        <f>(G465+G470)- G474</f>
        <v>94890.399999999907</v>
      </c>
      <c r="H476" s="53">
        <f>(H465+H470)- H474</f>
        <v>301655.68000000063</v>
      </c>
      <c r="I476" s="53">
        <f>(I465+I470)- I474</f>
        <v>2490279.6400000006</v>
      </c>
      <c r="J476" s="53">
        <f>(J465+J470)- J474</f>
        <v>6337284.0099999998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 t="s">
        <v>912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71294330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54" t="s">
        <v>912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59015000</v>
      </c>
      <c r="G495" s="18"/>
      <c r="H495" s="18"/>
      <c r="I495" s="18"/>
      <c r="J495" s="18"/>
      <c r="K495" s="53">
        <f>SUM(F495:J495)</f>
        <v>59015000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2965000</v>
      </c>
      <c r="G497" s="18"/>
      <c r="H497" s="18"/>
      <c r="I497" s="18"/>
      <c r="J497" s="18"/>
      <c r="K497" s="53">
        <f t="shared" si="35"/>
        <v>2965000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56050000</v>
      </c>
      <c r="G498" s="204"/>
      <c r="H498" s="204"/>
      <c r="I498" s="204"/>
      <c r="J498" s="204"/>
      <c r="K498" s="205">
        <f t="shared" si="35"/>
        <v>56050000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3020602.91-885553.38</f>
        <v>2135049.5300000003</v>
      </c>
      <c r="G499" s="18"/>
      <c r="H499" s="18"/>
      <c r="I499" s="18"/>
      <c r="J499" s="18"/>
      <c r="K499" s="53">
        <f t="shared" si="35"/>
        <v>2135049.5300000003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58185049.530000001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58185049.530000001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2965000</v>
      </c>
      <c r="G501" s="204"/>
      <c r="H501" s="204"/>
      <c r="I501" s="204"/>
      <c r="J501" s="204"/>
      <c r="K501" s="205">
        <f t="shared" si="35"/>
        <v>2965000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2910668-871000.38</f>
        <v>2039667.62</v>
      </c>
      <c r="G502" s="18"/>
      <c r="H502" s="18"/>
      <c r="I502" s="18"/>
      <c r="J502" s="18"/>
      <c r="K502" s="53">
        <f t="shared" si="35"/>
        <v>2039667.62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5004667.62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5004667.62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4339761.13</f>
        <v>4339761.13</v>
      </c>
      <c r="G521" s="18">
        <f>1535006.85</f>
        <v>1535006.85</v>
      </c>
      <c r="H521" s="18">
        <f>973441.72</f>
        <v>973441.72</v>
      </c>
      <c r="I521" s="18">
        <f>19653.93</f>
        <v>19653.93</v>
      </c>
      <c r="J521" s="18">
        <f>1488.7</f>
        <v>1488.7</v>
      </c>
      <c r="K521" s="18"/>
      <c r="L521" s="88">
        <f>SUM(F521:K521)</f>
        <v>6869352.3300000001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1530804.82</f>
        <v>1530804.82</v>
      </c>
      <c r="G522" s="18">
        <f>586653.9</f>
        <v>586653.9</v>
      </c>
      <c r="H522" s="18">
        <f>693405.97</f>
        <v>693405.97</v>
      </c>
      <c r="I522" s="18">
        <f>7053.34</f>
        <v>7053.34</v>
      </c>
      <c r="J522" s="18">
        <f>693.75</f>
        <v>693.75</v>
      </c>
      <c r="K522" s="18"/>
      <c r="L522" s="88">
        <f>SUM(F522:K522)</f>
        <v>2818611.7800000003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2654194.07</f>
        <v>2654194.0699999998</v>
      </c>
      <c r="G523" s="18">
        <f>1098150.7</f>
        <v>1098150.7</v>
      </c>
      <c r="H523" s="18">
        <f>1299055.49</f>
        <v>1299055.49</v>
      </c>
      <c r="I523" s="18">
        <f>17309.82</f>
        <v>17309.82</v>
      </c>
      <c r="J523" s="18">
        <f>989.72</f>
        <v>989.72</v>
      </c>
      <c r="K523" s="18">
        <f>341.91</f>
        <v>341.91</v>
      </c>
      <c r="L523" s="88">
        <f>SUM(F523:K523)</f>
        <v>5070041.71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8524760.0199999996</v>
      </c>
      <c r="G524" s="108">
        <f t="shared" ref="G524:L524" si="36">SUM(G521:G523)</f>
        <v>3219811.45</v>
      </c>
      <c r="H524" s="108">
        <f t="shared" si="36"/>
        <v>2965903.1799999997</v>
      </c>
      <c r="I524" s="108">
        <f t="shared" si="36"/>
        <v>44017.09</v>
      </c>
      <c r="J524" s="108">
        <f t="shared" si="36"/>
        <v>3172.17</v>
      </c>
      <c r="K524" s="108">
        <f t="shared" si="36"/>
        <v>341.91</v>
      </c>
      <c r="L524" s="89">
        <f t="shared" si="36"/>
        <v>14758005.82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1336804.5</f>
        <v>1336804.5</v>
      </c>
      <c r="G526" s="18">
        <f>503407.24</f>
        <v>503407.24</v>
      </c>
      <c r="H526" s="18">
        <f>194309.3</f>
        <v>194309.3</v>
      </c>
      <c r="I526" s="18">
        <f>9798.92</f>
        <v>9798.92</v>
      </c>
      <c r="J526" s="18">
        <f>17585.67</f>
        <v>17585.669999999998</v>
      </c>
      <c r="K526" s="18">
        <f>965.82</f>
        <v>965.82</v>
      </c>
      <c r="L526" s="88">
        <f>SUM(F526:K526)</f>
        <v>2062871.45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350684.82</f>
        <v>350684.82</v>
      </c>
      <c r="G527" s="18">
        <f>116810.78</f>
        <v>116810.78</v>
      </c>
      <c r="H527" s="18">
        <f>33226.97</f>
        <v>33226.97</v>
      </c>
      <c r="I527" s="18">
        <f>2540.01</f>
        <v>2540.0100000000002</v>
      </c>
      <c r="J527" s="18">
        <f>2621.64</f>
        <v>2621.64</v>
      </c>
      <c r="K527" s="18">
        <f>450.08</f>
        <v>450.08</v>
      </c>
      <c r="L527" s="88">
        <f>SUM(F527:K527)</f>
        <v>506334.3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493859.71</f>
        <v>493859.71</v>
      </c>
      <c r="G528" s="18">
        <f>192605.33</f>
        <v>192605.33</v>
      </c>
      <c r="H528" s="18">
        <f>91769.32</f>
        <v>91769.32</v>
      </c>
      <c r="I528" s="18">
        <f>35547.91</f>
        <v>35547.910000000003</v>
      </c>
      <c r="J528" s="18">
        <f>40186.78</f>
        <v>40186.78</v>
      </c>
      <c r="K528" s="18">
        <f>642.1</f>
        <v>642.1</v>
      </c>
      <c r="L528" s="88">
        <f>SUM(F528:K528)</f>
        <v>854611.15000000014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2181349.0300000003</v>
      </c>
      <c r="G529" s="89">
        <f t="shared" ref="G529:L529" si="37">SUM(G526:G528)</f>
        <v>812823.35</v>
      </c>
      <c r="H529" s="89">
        <f t="shared" si="37"/>
        <v>319305.58999999997</v>
      </c>
      <c r="I529" s="89">
        <f t="shared" si="37"/>
        <v>47886.840000000004</v>
      </c>
      <c r="J529" s="89">
        <f t="shared" si="37"/>
        <v>60394.09</v>
      </c>
      <c r="K529" s="89">
        <f t="shared" si="37"/>
        <v>2058</v>
      </c>
      <c r="L529" s="89">
        <f t="shared" si="37"/>
        <v>3423816.9000000004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60150.72</f>
        <v>60150.720000000001</v>
      </c>
      <c r="G531" s="18">
        <f>18635.42</f>
        <v>18635.419999999998</v>
      </c>
      <c r="H531" s="18"/>
      <c r="I531" s="18"/>
      <c r="J531" s="18"/>
      <c r="K531" s="18"/>
      <c r="L531" s="88">
        <f>SUM(F531:K531)</f>
        <v>78786.14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28031.03</f>
        <v>28031.03</v>
      </c>
      <c r="G532" s="18">
        <f>8684.35</f>
        <v>8684.35</v>
      </c>
      <c r="H532" s="18"/>
      <c r="I532" s="18"/>
      <c r="J532" s="18"/>
      <c r="K532" s="18"/>
      <c r="L532" s="88">
        <f>SUM(F532:K532)</f>
        <v>36715.379999999997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39989.39</f>
        <v>39989.39</v>
      </c>
      <c r="G533" s="18">
        <f>12389.2</f>
        <v>12389.2</v>
      </c>
      <c r="H533" s="18"/>
      <c r="I533" s="18"/>
      <c r="J533" s="18"/>
      <c r="K533" s="18"/>
      <c r="L533" s="88">
        <f>SUM(F533:K533)</f>
        <v>52378.59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128171.14</v>
      </c>
      <c r="G534" s="89">
        <f t="shared" ref="G534:L534" si="38">SUM(G531:G533)</f>
        <v>39708.97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167880.11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2107.28</f>
        <v>2107.2800000000002</v>
      </c>
      <c r="I536" s="18"/>
      <c r="J536" s="18"/>
      <c r="K536" s="18"/>
      <c r="L536" s="88">
        <f>SUM(F536:K536)</f>
        <v>2107.2800000000002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982.02</f>
        <v>982.02</v>
      </c>
      <c r="I537" s="18"/>
      <c r="J537" s="18"/>
      <c r="K537" s="18"/>
      <c r="L537" s="88">
        <f>SUM(F537:K537)</f>
        <v>982.02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1400.96</f>
        <v>1400.96</v>
      </c>
      <c r="I538" s="18"/>
      <c r="J538" s="18"/>
      <c r="K538" s="18"/>
      <c r="L538" s="88">
        <f>SUM(F538:K538)</f>
        <v>1400.96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4490.26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4490.26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f>279558.04</f>
        <v>279558.03999999998</v>
      </c>
      <c r="G541" s="18">
        <f>94766.62</f>
        <v>94766.62</v>
      </c>
      <c r="H541" s="18">
        <f>135082.5</f>
        <v>135082.5</v>
      </c>
      <c r="I541" s="18"/>
      <c r="J541" s="18"/>
      <c r="K541" s="18">
        <f>231.15</f>
        <v>231.15</v>
      </c>
      <c r="L541" s="88">
        <f>SUM(F541:K541)</f>
        <v>509638.31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f>138003.95</f>
        <v>138003.95000000001</v>
      </c>
      <c r="G542" s="18">
        <f>46781.58</f>
        <v>46781.58</v>
      </c>
      <c r="H542" s="18">
        <f>66683.53</f>
        <v>66683.53</v>
      </c>
      <c r="I542" s="18"/>
      <c r="J542" s="18"/>
      <c r="K542" s="18">
        <f>114.11</f>
        <v>114.11</v>
      </c>
      <c r="L542" s="88">
        <f>SUM(F542:K542)</f>
        <v>251583.17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f>227919.52</f>
        <v>227919.52</v>
      </c>
      <c r="G543" s="18">
        <f>77261.83</f>
        <v>77261.83</v>
      </c>
      <c r="H543" s="18">
        <f>110130.75</f>
        <v>110130.75</v>
      </c>
      <c r="I543" s="18"/>
      <c r="J543" s="18"/>
      <c r="K543" s="18">
        <f>188.45</f>
        <v>188.45</v>
      </c>
      <c r="L543" s="88">
        <f>SUM(F543:K543)</f>
        <v>415500.55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645481.51</v>
      </c>
      <c r="G544" s="193">
        <f t="shared" ref="G544:L544" si="40">SUM(G541:G543)</f>
        <v>218810.03000000003</v>
      </c>
      <c r="H544" s="193">
        <f t="shared" si="40"/>
        <v>311896.78000000003</v>
      </c>
      <c r="I544" s="193">
        <f t="shared" si="40"/>
        <v>0</v>
      </c>
      <c r="J544" s="193">
        <f t="shared" si="40"/>
        <v>0</v>
      </c>
      <c r="K544" s="193">
        <f t="shared" si="40"/>
        <v>533.71</v>
      </c>
      <c r="L544" s="193">
        <f t="shared" si="40"/>
        <v>1176722.03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11479761.700000001</v>
      </c>
      <c r="G545" s="89">
        <f t="shared" ref="G545:L545" si="41">G524+G529+G534+G539+G544</f>
        <v>4291153.8000000007</v>
      </c>
      <c r="H545" s="89">
        <f t="shared" si="41"/>
        <v>3601595.8099999996</v>
      </c>
      <c r="I545" s="89">
        <f t="shared" si="41"/>
        <v>91903.93</v>
      </c>
      <c r="J545" s="89">
        <f t="shared" si="41"/>
        <v>63566.259999999995</v>
      </c>
      <c r="K545" s="89">
        <f t="shared" si="41"/>
        <v>2933.62</v>
      </c>
      <c r="L545" s="89">
        <f t="shared" si="41"/>
        <v>19530915.120000001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6869352.3300000001</v>
      </c>
      <c r="G549" s="87">
        <f>L526</f>
        <v>2062871.45</v>
      </c>
      <c r="H549" s="87">
        <f>L531</f>
        <v>78786.14</v>
      </c>
      <c r="I549" s="87">
        <f>L536</f>
        <v>2107.2800000000002</v>
      </c>
      <c r="J549" s="87">
        <f>L541</f>
        <v>509638.31</v>
      </c>
      <c r="K549" s="87">
        <f>SUM(F549:J549)</f>
        <v>9522755.5099999998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2818611.7800000003</v>
      </c>
      <c r="G550" s="87">
        <f>L527</f>
        <v>506334.3</v>
      </c>
      <c r="H550" s="87">
        <f>L532</f>
        <v>36715.379999999997</v>
      </c>
      <c r="I550" s="87">
        <f>L537</f>
        <v>982.02</v>
      </c>
      <c r="J550" s="87">
        <f>L542</f>
        <v>251583.17</v>
      </c>
      <c r="K550" s="87">
        <f>SUM(F550:J550)</f>
        <v>3614226.65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5070041.71</v>
      </c>
      <c r="G551" s="87">
        <f>L528</f>
        <v>854611.15000000014</v>
      </c>
      <c r="H551" s="87">
        <f>L533</f>
        <v>52378.59</v>
      </c>
      <c r="I551" s="87">
        <f>L538</f>
        <v>1400.96</v>
      </c>
      <c r="J551" s="87">
        <f>L543</f>
        <v>415500.55</v>
      </c>
      <c r="K551" s="87">
        <f>SUM(F551:J551)</f>
        <v>6393932.96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14758005.82</v>
      </c>
      <c r="G552" s="89">
        <f t="shared" si="42"/>
        <v>3423816.9000000004</v>
      </c>
      <c r="H552" s="89">
        <f t="shared" si="42"/>
        <v>167880.11</v>
      </c>
      <c r="I552" s="89">
        <f t="shared" si="42"/>
        <v>4490.26</v>
      </c>
      <c r="J552" s="89">
        <f t="shared" si="42"/>
        <v>1176722.03</v>
      </c>
      <c r="K552" s="89">
        <f t="shared" si="42"/>
        <v>19530915.120000001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320676.01</f>
        <v>320676.01</v>
      </c>
      <c r="G562" s="18">
        <v>98512.17</v>
      </c>
      <c r="H562" s="18">
        <f>18096.11</f>
        <v>18096.11</v>
      </c>
      <c r="I562" s="18">
        <f>1503.84</f>
        <v>1503.84</v>
      </c>
      <c r="J562" s="18"/>
      <c r="K562" s="18"/>
      <c r="L562" s="88">
        <f>SUM(F562:K562)</f>
        <v>438788.13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123085.31</v>
      </c>
      <c r="G563" s="18">
        <f>48681.28</f>
        <v>48681.279999999999</v>
      </c>
      <c r="H563" s="18">
        <f>3156.4</f>
        <v>3156.4</v>
      </c>
      <c r="I563" s="18"/>
      <c r="J563" s="18"/>
      <c r="K563" s="18"/>
      <c r="L563" s="88">
        <f>SUM(F563:K563)</f>
        <v>174922.99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284991.44</f>
        <v>284991.44</v>
      </c>
      <c r="G564" s="18">
        <f>120617.9</f>
        <v>120617.9</v>
      </c>
      <c r="H564" s="18">
        <f>13074.81</f>
        <v>13074.81</v>
      </c>
      <c r="I564" s="18">
        <f>5117.31</f>
        <v>5117.3100000000004</v>
      </c>
      <c r="J564" s="18"/>
      <c r="K564" s="18"/>
      <c r="L564" s="88">
        <f>SUM(F564:K564)</f>
        <v>423801.45999999996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728752.76</v>
      </c>
      <c r="G565" s="89">
        <f t="shared" si="44"/>
        <v>267811.34999999998</v>
      </c>
      <c r="H565" s="89">
        <f t="shared" si="44"/>
        <v>34327.32</v>
      </c>
      <c r="I565" s="89">
        <f t="shared" si="44"/>
        <v>6621.1500000000005</v>
      </c>
      <c r="J565" s="89">
        <f t="shared" si="44"/>
        <v>0</v>
      </c>
      <c r="K565" s="89">
        <f t="shared" si="44"/>
        <v>0</v>
      </c>
      <c r="L565" s="89">
        <f t="shared" si="44"/>
        <v>1037512.58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728752.76</v>
      </c>
      <c r="G571" s="89">
        <f t="shared" ref="G571:L571" si="46">G560+G565+G570</f>
        <v>267811.34999999998</v>
      </c>
      <c r="H571" s="89">
        <f t="shared" si="46"/>
        <v>34327.32</v>
      </c>
      <c r="I571" s="89">
        <f t="shared" si="46"/>
        <v>6621.1500000000005</v>
      </c>
      <c r="J571" s="89">
        <f t="shared" si="46"/>
        <v>0</v>
      </c>
      <c r="K571" s="89">
        <f t="shared" si="46"/>
        <v>0</v>
      </c>
      <c r="L571" s="89">
        <f t="shared" si="46"/>
        <v>1037512.58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50809.01</f>
        <v>50809.01</v>
      </c>
      <c r="G579" s="18"/>
      <c r="H579" s="18">
        <f>2455.04</f>
        <v>2455.04</v>
      </c>
      <c r="I579" s="87">
        <f t="shared" si="47"/>
        <v>53264.05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288264.71</f>
        <v>288264.71000000002</v>
      </c>
      <c r="G582" s="18">
        <f>580080.7</f>
        <v>580080.69999999995</v>
      </c>
      <c r="H582" s="18">
        <f>1143504.98</f>
        <v>1143504.98</v>
      </c>
      <c r="I582" s="87">
        <f t="shared" si="47"/>
        <v>2011850.39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740917.68</f>
        <v>740917.68</v>
      </c>
      <c r="I591" s="18">
        <f>365754.32</f>
        <v>365754.32</v>
      </c>
      <c r="J591" s="18">
        <f>604059.17</f>
        <v>604059.17000000004</v>
      </c>
      <c r="K591" s="104">
        <f t="shared" ref="K591:K597" si="48">SUM(H591:J591)</f>
        <v>1710731.17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509638.31</f>
        <v>509638.31</v>
      </c>
      <c r="I592" s="18">
        <f>251583.17</f>
        <v>251583.17</v>
      </c>
      <c r="J592" s="18">
        <f>415500.55</f>
        <v>415500.55</v>
      </c>
      <c r="K592" s="104">
        <f t="shared" si="48"/>
        <v>1176722.03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f>2362.53</f>
        <v>2362.5300000000002</v>
      </c>
      <c r="I593" s="18">
        <f>1166.25</f>
        <v>1166.25</v>
      </c>
      <c r="J593" s="18">
        <f>5574.38</f>
        <v>5574.38</v>
      </c>
      <c r="K593" s="104">
        <f t="shared" si="48"/>
        <v>9103.16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f>5336.02</f>
        <v>5336.02</v>
      </c>
      <c r="I594" s="18">
        <f>39951.64</f>
        <v>39951.64</v>
      </c>
      <c r="J594" s="18">
        <f>157585.67</f>
        <v>157585.67000000001</v>
      </c>
      <c r="K594" s="104">
        <f t="shared" si="48"/>
        <v>202873.33000000002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3265.22</f>
        <v>3265.22</v>
      </c>
      <c r="I595" s="18">
        <f>4069.65</f>
        <v>4069.65</v>
      </c>
      <c r="J595" s="18">
        <f>22322.49</f>
        <v>22322.49</v>
      </c>
      <c r="K595" s="104">
        <f t="shared" si="48"/>
        <v>29657.360000000001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f>1751.52</f>
        <v>1751.52</v>
      </c>
      <c r="I596" s="18">
        <f>864.64</f>
        <v>864.64</v>
      </c>
      <c r="J596" s="18">
        <f>1427.99</f>
        <v>1427.99</v>
      </c>
      <c r="K596" s="104">
        <f t="shared" si="48"/>
        <v>4044.1499999999996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f>34530.81</f>
        <v>34530.81</v>
      </c>
      <c r="I597" s="18">
        <f>5748.26</f>
        <v>5748.26</v>
      </c>
      <c r="J597" s="18">
        <f>9493.53</f>
        <v>9493.5300000000007</v>
      </c>
      <c r="K597" s="104">
        <f t="shared" si="48"/>
        <v>49772.6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1297802.0900000001</v>
      </c>
      <c r="I598" s="108">
        <f>SUM(I591:I597)</f>
        <v>669137.93000000005</v>
      </c>
      <c r="J598" s="108">
        <f>SUM(J591:J597)</f>
        <v>1215963.78</v>
      </c>
      <c r="K598" s="108">
        <f>SUM(K591:K597)</f>
        <v>3182903.8000000003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144834.9</v>
      </c>
      <c r="I604" s="18">
        <v>121598.31</v>
      </c>
      <c r="J604" s="18">
        <v>277730.37</v>
      </c>
      <c r="K604" s="104">
        <f>SUM(H604:J604)</f>
        <v>544163.57999999996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144834.9</v>
      </c>
      <c r="I605" s="108">
        <f>SUM(I602:I604)</f>
        <v>121598.31</v>
      </c>
      <c r="J605" s="108">
        <f>SUM(J602:J604)</f>
        <v>277730.37</v>
      </c>
      <c r="K605" s="108">
        <f>SUM(K602:K604)</f>
        <v>544163.57999999996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117791176.30000001</v>
      </c>
      <c r="H617" s="109">
        <f>SUM(F52)</f>
        <v>117791176.3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7318490.3799999999</v>
      </c>
      <c r="H618" s="109">
        <f>SUM(G52)</f>
        <v>7318490.3800000008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41798022.189999998</v>
      </c>
      <c r="H619" s="109">
        <f>SUM(H52)</f>
        <v>41798022.189999998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67824423.159999996</v>
      </c>
      <c r="H620" s="109">
        <f>SUM(I52)</f>
        <v>67824423.160000011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4601145.84</v>
      </c>
      <c r="H621" s="109">
        <f>SUM(J52)</f>
        <v>4601145.84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3997104.84</v>
      </c>
      <c r="H622" s="109">
        <f>F476</f>
        <v>3997104.8400000036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94890.4</v>
      </c>
      <c r="H623" s="109">
        <f>G476</f>
        <v>94890.399999999907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301655.6800000004</v>
      </c>
      <c r="H624" s="109">
        <f>H476</f>
        <v>301655.68000000063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2490279.640000008</v>
      </c>
      <c r="H625" s="109">
        <f>I476</f>
        <v>2490279.6400000006</v>
      </c>
      <c r="I625" s="121" t="s">
        <v>104</v>
      </c>
      <c r="J625" s="109">
        <f t="shared" si="50"/>
        <v>7.4505805969238281E-9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6337284.0099999998</v>
      </c>
      <c r="H626" s="109">
        <f>J476</f>
        <v>6337284.0099999998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78873599.609999985</v>
      </c>
      <c r="H627" s="104">
        <f>SUM(F468)</f>
        <v>78873599.609999999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1913587.42</v>
      </c>
      <c r="H628" s="104">
        <f>SUM(G468)</f>
        <v>1913587.42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4742494.1999999993</v>
      </c>
      <c r="H629" s="104">
        <f>SUM(H468)</f>
        <v>4742494.2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174490.75</v>
      </c>
      <c r="H630" s="104">
        <f>SUM(I468)</f>
        <v>174490.75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612617.85</v>
      </c>
      <c r="H631" s="104">
        <f>SUM(J468)</f>
        <v>612617.85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77073821.460000008</v>
      </c>
      <c r="H632" s="104">
        <f>SUM(F472)</f>
        <v>77073821.459999993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4824062.1700000009</v>
      </c>
      <c r="H633" s="104">
        <f>SUM(H472)</f>
        <v>4824062.17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1032747.12</v>
      </c>
      <c r="H634" s="104">
        <f>I369</f>
        <v>1032747.1200000001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1839921.54</v>
      </c>
      <c r="H635" s="104">
        <f>SUM(G472)</f>
        <v>1839921.54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6007527.7599999998</v>
      </c>
      <c r="H636" s="104">
        <f>SUM(I472)</f>
        <v>6007527.7599999998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612617.85</v>
      </c>
      <c r="H637" s="164">
        <f>SUM(J468)</f>
        <v>612617.85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188754.55</v>
      </c>
      <c r="H638" s="164">
        <f>SUM(J472)</f>
        <v>188754.55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4601145.84</v>
      </c>
      <c r="H640" s="104">
        <f>SUM(G461)</f>
        <v>4601145.84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4601145.84</v>
      </c>
      <c r="H642" s="104">
        <f>SUM(I461)</f>
        <v>4601145.84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22520.760000000002</v>
      </c>
      <c r="H644" s="104">
        <f>H408</f>
        <v>22520.760000000002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572478</v>
      </c>
      <c r="H645" s="104">
        <f>G408</f>
        <v>572478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612617.85</v>
      </c>
      <c r="H646" s="104">
        <f>L408</f>
        <v>612617.85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3182903.8000000003</v>
      </c>
      <c r="H647" s="104">
        <f>L208+L226+L244</f>
        <v>3182903.8000000003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544163.57999999996</v>
      </c>
      <c r="H648" s="104">
        <f>(J257+J338)-(J255+J336)</f>
        <v>544163.57999999996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1297802.0899999999</v>
      </c>
      <c r="H649" s="104">
        <f>H598</f>
        <v>1297802.0900000001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669137.93000000005</v>
      </c>
      <c r="H650" s="104">
        <f>I598</f>
        <v>669137.93000000005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1215963.7800000003</v>
      </c>
      <c r="H651" s="104">
        <f>J598</f>
        <v>1215963.78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100000</v>
      </c>
      <c r="H652" s="104">
        <f>K263+K345</f>
        <v>100000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572478</v>
      </c>
      <c r="H655" s="104">
        <f>K266+K347</f>
        <v>572478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32854663.250000007</v>
      </c>
      <c r="G660" s="19">
        <f>(L229+L309+L359)</f>
        <v>15806943.83</v>
      </c>
      <c r="H660" s="19">
        <f>(L247+L328+L360)</f>
        <v>27760220.869999997</v>
      </c>
      <c r="I660" s="19">
        <f>SUM(F660:H660)</f>
        <v>76421827.950000003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347429.14109492686</v>
      </c>
      <c r="G661" s="19">
        <f>(L359/IF(SUM(L358:L360)=0,1,SUM(L358:L360))*(SUM(G97:G110)))</f>
        <v>136889.5368688294</v>
      </c>
      <c r="H661" s="19">
        <f>(L360/IF(SUM(L358:L360)=0,1,SUM(L358:L360))*(SUM(G97:G110)))</f>
        <v>260627.55203624367</v>
      </c>
      <c r="I661" s="19">
        <f>SUM(F661:H661)</f>
        <v>744946.23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1328363.8</v>
      </c>
      <c r="G662" s="19">
        <f>(L226+L306)-(J226+J306)</f>
        <v>668170.91</v>
      </c>
      <c r="H662" s="19">
        <f>(L244+L325)-(J244+J325)</f>
        <v>1356972.3800000001</v>
      </c>
      <c r="I662" s="19">
        <f>SUM(F662:H662)</f>
        <v>3353507.09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483908.62</v>
      </c>
      <c r="G663" s="199">
        <f>SUM(G575:G587)+SUM(I602:I604)+L612</f>
        <v>701679.01</v>
      </c>
      <c r="H663" s="199">
        <f>SUM(H575:H587)+SUM(J602:J604)+L613</f>
        <v>1423690.3900000001</v>
      </c>
      <c r="I663" s="19">
        <f>SUM(F663:H663)</f>
        <v>2609278.02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30694961.688905079</v>
      </c>
      <c r="G664" s="19">
        <f>G660-SUM(G661:G663)</f>
        <v>14300204.373131171</v>
      </c>
      <c r="H664" s="19">
        <f>H660-SUM(H661:H663)</f>
        <v>24718930.547963753</v>
      </c>
      <c r="I664" s="19">
        <f>I660-SUM(I661:I663)</f>
        <v>69714096.609999999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1747.04</v>
      </c>
      <c r="G665" s="248">
        <v>967.28</v>
      </c>
      <c r="H665" s="248">
        <v>1622</v>
      </c>
      <c r="I665" s="19">
        <f>SUM(F665:H665)</f>
        <v>4336.32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17569.7</v>
      </c>
      <c r="G667" s="19">
        <f>ROUND(G664/G665,2)</f>
        <v>14783.93</v>
      </c>
      <c r="H667" s="19">
        <f>ROUND(H664/H665,2)</f>
        <v>15239.78</v>
      </c>
      <c r="I667" s="19">
        <f>ROUND(I664/I665,2)</f>
        <v>16076.79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121.38</v>
      </c>
      <c r="I670" s="19">
        <f>SUM(F670:H670)</f>
        <v>121.38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17569.7</v>
      </c>
      <c r="G672" s="19">
        <f>ROUND((G664+G669)/(G665+G670),2)</f>
        <v>14783.93</v>
      </c>
      <c r="H672" s="19">
        <f>ROUND((H664+H669)/(H665+H670),2)</f>
        <v>14178.74</v>
      </c>
      <c r="I672" s="19">
        <f>ROUND((I664+I669)/(I665+I670),2)</f>
        <v>15639.03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8" sqref="B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Concord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19511738.870000001</v>
      </c>
      <c r="C9" s="229">
        <f>'DOE25'!G197+'DOE25'!G215+'DOE25'!G233+'DOE25'!G276+'DOE25'!G295+'DOE25'!G314</f>
        <v>9312134.8999999985</v>
      </c>
    </row>
    <row r="10" spans="1:3" x14ac:dyDescent="0.2">
      <c r="A10" t="s">
        <v>773</v>
      </c>
      <c r="B10" s="240">
        <v>19224788.420000002</v>
      </c>
      <c r="C10" s="240">
        <f>B10/B9*C9</f>
        <v>9175185.4810979143</v>
      </c>
    </row>
    <row r="11" spans="1:3" x14ac:dyDescent="0.2">
      <c r="A11" t="s">
        <v>774</v>
      </c>
      <c r="B11" s="240">
        <v>14198.24</v>
      </c>
      <c r="C11" s="240">
        <f>B11/B9*C9</f>
        <v>6776.2246667754816</v>
      </c>
    </row>
    <row r="12" spans="1:3" x14ac:dyDescent="0.2">
      <c r="A12" t="s">
        <v>775</v>
      </c>
      <c r="B12" s="240">
        <f>B9-B10-B11</f>
        <v>272752.20999999926</v>
      </c>
      <c r="C12" s="240">
        <f>B12/B9*C9</f>
        <v>130173.19423530814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19511738.870000001</v>
      </c>
      <c r="C13" s="231">
        <f>SUM(C10:C12)</f>
        <v>9312134.8999999985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8524760.0199999996</v>
      </c>
      <c r="C18" s="229">
        <f>'DOE25'!G198+'DOE25'!G216+'DOE25'!G234+'DOE25'!G277+'DOE25'!G296+'DOE25'!G315</f>
        <v>3358152.5300000003</v>
      </c>
    </row>
    <row r="19" spans="1:3" x14ac:dyDescent="0.2">
      <c r="A19" t="s">
        <v>773</v>
      </c>
      <c r="B19" s="240">
        <v>4544088.93</v>
      </c>
      <c r="C19" s="240">
        <f>B19/B18*C18</f>
        <v>1790049.6554769285</v>
      </c>
    </row>
    <row r="20" spans="1:3" x14ac:dyDescent="0.2">
      <c r="A20" t="s">
        <v>774</v>
      </c>
      <c r="B20" s="240">
        <v>3466394.84</v>
      </c>
      <c r="C20" s="240">
        <f>B20/B18*C18</f>
        <v>1365514.4044658921</v>
      </c>
    </row>
    <row r="21" spans="1:3" x14ac:dyDescent="0.2">
      <c r="A21" t="s">
        <v>775</v>
      </c>
      <c r="B21" s="240">
        <f>B18-B19-B20</f>
        <v>514276.25</v>
      </c>
      <c r="C21" s="240">
        <f>B21/B18*C18</f>
        <v>202588.47005717971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8524760.0199999996</v>
      </c>
      <c r="C22" s="231">
        <f>SUM(C19:C21)</f>
        <v>3358152.5300000003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1043911.3499999999</v>
      </c>
      <c r="C27" s="234">
        <f>'DOE25'!G199+'DOE25'!G217+'DOE25'!G235+'DOE25'!G278+'DOE25'!G297+'DOE25'!G316</f>
        <v>588203.03999999992</v>
      </c>
    </row>
    <row r="28" spans="1:3" x14ac:dyDescent="0.2">
      <c r="A28" t="s">
        <v>773</v>
      </c>
      <c r="B28" s="240">
        <v>841053.8</v>
      </c>
      <c r="C28" s="240">
        <f>B28/B27*C27</f>
        <v>473900.77899196325</v>
      </c>
    </row>
    <row r="29" spans="1:3" x14ac:dyDescent="0.2">
      <c r="A29" t="s">
        <v>774</v>
      </c>
      <c r="B29" s="240">
        <v>35641.35</v>
      </c>
      <c r="C29" s="240">
        <f>B29/B27*C27</f>
        <v>20082.500702482062</v>
      </c>
    </row>
    <row r="30" spans="1:3" x14ac:dyDescent="0.2">
      <c r="A30" t="s">
        <v>775</v>
      </c>
      <c r="B30" s="240">
        <f>B27-B28-B29</f>
        <v>167216.19999999981</v>
      </c>
      <c r="C30" s="240">
        <f>B30/B27*C27</f>
        <v>94219.760305554577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1043911.3499999999</v>
      </c>
      <c r="C31" s="231">
        <f>SUM(C28:C30)</f>
        <v>588203.03999999992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855846.89</v>
      </c>
      <c r="C36" s="235">
        <f>'DOE25'!G200+'DOE25'!G218+'DOE25'!G236+'DOE25'!G279+'DOE25'!G298+'DOE25'!G317</f>
        <v>192177.67</v>
      </c>
    </row>
    <row r="37" spans="1:3" x14ac:dyDescent="0.2">
      <c r="A37" t="s">
        <v>773</v>
      </c>
      <c r="B37" s="240"/>
      <c r="C37" s="240">
        <f>B37/B36*C36</f>
        <v>0</v>
      </c>
    </row>
    <row r="38" spans="1:3" x14ac:dyDescent="0.2">
      <c r="A38" t="s">
        <v>774</v>
      </c>
      <c r="B38" s="240"/>
      <c r="C38" s="240">
        <f>B38/B36*C36</f>
        <v>0</v>
      </c>
    </row>
    <row r="39" spans="1:3" x14ac:dyDescent="0.2">
      <c r="A39" t="s">
        <v>775</v>
      </c>
      <c r="B39" s="240">
        <f>B36-B37-B38</f>
        <v>855846.89</v>
      </c>
      <c r="C39" s="240">
        <f>B39/B36*C36</f>
        <v>192177.67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855846.89</v>
      </c>
      <c r="C40" s="231">
        <f>SUM(C37:C39)</f>
        <v>192177.67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J24" sqref="J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Concord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45015752.420000002</v>
      </c>
      <c r="D5" s="20">
        <f>SUM('DOE25'!L197:L200)+SUM('DOE25'!L215:L218)+SUM('DOE25'!L233:L236)-F5-G5</f>
        <v>44929293.050000004</v>
      </c>
      <c r="E5" s="243"/>
      <c r="F5" s="255">
        <f>SUM('DOE25'!J197:J200)+SUM('DOE25'!J215:J218)+SUM('DOE25'!J233:J236)</f>
        <v>46564.639999999999</v>
      </c>
      <c r="G5" s="53">
        <f>SUM('DOE25'!K197:K200)+SUM('DOE25'!K215:K218)+SUM('DOE25'!K233:K236)</f>
        <v>39894.729999999996</v>
      </c>
      <c r="H5" s="259"/>
    </row>
    <row r="6" spans="1:9" x14ac:dyDescent="0.2">
      <c r="A6" s="32">
        <v>2100</v>
      </c>
      <c r="B6" t="s">
        <v>795</v>
      </c>
      <c r="C6" s="245">
        <f t="shared" si="0"/>
        <v>5836086.46</v>
      </c>
      <c r="D6" s="20">
        <f>'DOE25'!L202+'DOE25'!L220+'DOE25'!L238-F6-G6</f>
        <v>5814588.5899999999</v>
      </c>
      <c r="E6" s="243"/>
      <c r="F6" s="255">
        <f>'DOE25'!J202+'DOE25'!J220+'DOE25'!J238</f>
        <v>18947.37</v>
      </c>
      <c r="G6" s="53">
        <f>'DOE25'!K202+'DOE25'!K220+'DOE25'!K238</f>
        <v>2550.5</v>
      </c>
      <c r="H6" s="259"/>
    </row>
    <row r="7" spans="1:9" x14ac:dyDescent="0.2">
      <c r="A7" s="32">
        <v>2200</v>
      </c>
      <c r="B7" t="s">
        <v>828</v>
      </c>
      <c r="C7" s="245">
        <f t="shared" si="0"/>
        <v>3889043.06</v>
      </c>
      <c r="D7" s="20">
        <f>'DOE25'!L203+'DOE25'!L221+'DOE25'!L239-F7-G7</f>
        <v>3769436.27</v>
      </c>
      <c r="E7" s="243"/>
      <c r="F7" s="255">
        <f>'DOE25'!J203+'DOE25'!J221+'DOE25'!J239</f>
        <v>119506.79</v>
      </c>
      <c r="G7" s="53">
        <f>'DOE25'!K203+'DOE25'!K221+'DOE25'!K239</f>
        <v>100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434606.81</v>
      </c>
      <c r="D8" s="243"/>
      <c r="E8" s="20">
        <f>'DOE25'!L204+'DOE25'!L222+'DOE25'!L240-F8-G8-D9-D11</f>
        <v>421813.04000000004</v>
      </c>
      <c r="F8" s="255">
        <f>'DOE25'!J204+'DOE25'!J222+'DOE25'!J240</f>
        <v>1959.98</v>
      </c>
      <c r="G8" s="53">
        <f>'DOE25'!K204+'DOE25'!K222+'DOE25'!K240</f>
        <v>10833.79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18378.28</v>
      </c>
      <c r="D9" s="244">
        <v>18378.28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45200</v>
      </c>
      <c r="D10" s="243"/>
      <c r="E10" s="244">
        <v>45200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544351.81999999995</v>
      </c>
      <c r="D11" s="244">
        <f>148017+23267.4+1665.2+10194.7+16697.45+54441+18144+1040+4011.69+6195.3+130792+23267.4+1665.2+9912.05+14658.79+45727.5+24492+1665.2+3294.04+5203.9</f>
        <v>544351.81999999995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3910728.92</v>
      </c>
      <c r="D12" s="20">
        <f>'DOE25'!L205+'DOE25'!L223+'DOE25'!L241-F12-G12</f>
        <v>3880666.4899999998</v>
      </c>
      <c r="E12" s="243"/>
      <c r="F12" s="255">
        <f>'DOE25'!J205+'DOE25'!J223+'DOE25'!J241</f>
        <v>8949</v>
      </c>
      <c r="G12" s="53">
        <f>'DOE25'!K205+'DOE25'!K223+'DOE25'!K241</f>
        <v>21113.43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832048.20999999985</v>
      </c>
      <c r="D13" s="243"/>
      <c r="E13" s="20">
        <f>'DOE25'!L206+'DOE25'!L224+'DOE25'!L242-F13-G13</f>
        <v>788340.68999999983</v>
      </c>
      <c r="F13" s="255">
        <f>'DOE25'!J206+'DOE25'!J224+'DOE25'!J242</f>
        <v>40552.520000000004</v>
      </c>
      <c r="G13" s="53">
        <f>'DOE25'!K206+'DOE25'!K224+'DOE25'!K242</f>
        <v>3155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5756193.9800000004</v>
      </c>
      <c r="D14" s="20">
        <f>'DOE25'!L207+'DOE25'!L225+'DOE25'!L243-F14-G14</f>
        <v>5569291.4400000004</v>
      </c>
      <c r="E14" s="243"/>
      <c r="F14" s="255">
        <f>'DOE25'!J207+'DOE25'!J225+'DOE25'!J243</f>
        <v>186262.53999999998</v>
      </c>
      <c r="G14" s="53">
        <f>'DOE25'!K207+'DOE25'!K225+'DOE25'!K243</f>
        <v>640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3182903.8000000003</v>
      </c>
      <c r="D15" s="20">
        <f>'DOE25'!L208+'DOE25'!L226+'DOE25'!L244-F15-G15</f>
        <v>3176456.8000000003</v>
      </c>
      <c r="E15" s="243"/>
      <c r="F15" s="255">
        <f>'DOE25'!J208+'DOE25'!J226+'DOE25'!J244</f>
        <v>4523</v>
      </c>
      <c r="G15" s="53">
        <f>'DOE25'!K208+'DOE25'!K226+'DOE25'!K244</f>
        <v>1924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548205.32000000007</v>
      </c>
      <c r="D16" s="243"/>
      <c r="E16" s="20">
        <f>'DOE25'!L209+'DOE25'!L227+'DOE25'!L245-F16-G16</f>
        <v>548205.32000000007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172452.15</v>
      </c>
      <c r="D17" s="20">
        <f>'DOE25'!L251-F17-G17</f>
        <v>169638.77</v>
      </c>
      <c r="E17" s="243"/>
      <c r="F17" s="255">
        <f>'DOE25'!J251</f>
        <v>0</v>
      </c>
      <c r="G17" s="53">
        <f>'DOE25'!K251</f>
        <v>2813.38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242041.38</v>
      </c>
      <c r="D22" s="243"/>
      <c r="E22" s="243"/>
      <c r="F22" s="255">
        <f>'DOE25'!L255+'DOE25'!L336</f>
        <v>242041.38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5985602.8100000005</v>
      </c>
      <c r="D25" s="243"/>
      <c r="E25" s="243"/>
      <c r="F25" s="258"/>
      <c r="G25" s="256"/>
      <c r="H25" s="257">
        <f>'DOE25'!L260+'DOE25'!L261+'DOE25'!L341+'DOE25'!L342</f>
        <v>5985602.8100000005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913602.75</v>
      </c>
      <c r="D29" s="20">
        <f>'DOE25'!L358+'DOE25'!L359+'DOE25'!L360-'DOE25'!I367-F29-G29</f>
        <v>910322.6</v>
      </c>
      <c r="E29" s="243"/>
      <c r="F29" s="255">
        <f>'DOE25'!J358+'DOE25'!J359+'DOE25'!J360</f>
        <v>625</v>
      </c>
      <c r="G29" s="53">
        <f>'DOE25'!K358+'DOE25'!K359+'DOE25'!K360</f>
        <v>2655.15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4710282.830000001</v>
      </c>
      <c r="D31" s="20">
        <f>'DOE25'!L290+'DOE25'!L309+'DOE25'!L328+'DOE25'!L333+'DOE25'!L334+'DOE25'!L335-F31-G31</f>
        <v>4570534.0500000007</v>
      </c>
      <c r="E31" s="243"/>
      <c r="F31" s="255">
        <f>'DOE25'!J290+'DOE25'!J309+'DOE25'!J328+'DOE25'!J333+'DOE25'!J334+'DOE25'!J335</f>
        <v>116897.74</v>
      </c>
      <c r="G31" s="53">
        <f>'DOE25'!K290+'DOE25'!K309+'DOE25'!K328+'DOE25'!K333+'DOE25'!K334+'DOE25'!K335</f>
        <v>22851.040000000001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73352958.159999996</v>
      </c>
      <c r="E33" s="246">
        <f>SUM(E5:E31)</f>
        <v>1803559.05</v>
      </c>
      <c r="F33" s="246">
        <f>SUM(F5:F31)</f>
        <v>786829.96</v>
      </c>
      <c r="G33" s="246">
        <f>SUM(G5:G31)</f>
        <v>108531.01999999999</v>
      </c>
      <c r="H33" s="246">
        <f>SUM(H5:H31)</f>
        <v>5985602.8100000005</v>
      </c>
    </row>
    <row r="35" spans="2:8" ht="12" thickBot="1" x14ac:dyDescent="0.25">
      <c r="B35" s="253" t="s">
        <v>841</v>
      </c>
      <c r="D35" s="254">
        <f>E33</f>
        <v>1803559.05</v>
      </c>
      <c r="E35" s="249"/>
    </row>
    <row r="36" spans="2:8" ht="12" thickTop="1" x14ac:dyDescent="0.2">
      <c r="B36" t="s">
        <v>809</v>
      </c>
      <c r="D36" s="20">
        <f>D33</f>
        <v>73352958.159999996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4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4273122.05</v>
      </c>
      <c r="D8" s="95">
        <f>'DOE25'!G9</f>
        <v>308942.53000000003</v>
      </c>
      <c r="E8" s="95">
        <f>'DOE25'!H9</f>
        <v>-200340.99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2724742.75</v>
      </c>
      <c r="G9" s="95">
        <f>'DOE25'!J10</f>
        <v>6305030.6399999997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112570409.37</v>
      </c>
      <c r="D11" s="95">
        <f>'DOE25'!G12</f>
        <v>6882080.6799999997</v>
      </c>
      <c r="E11" s="95">
        <f>'DOE25'!H12</f>
        <v>40920070.75</v>
      </c>
      <c r="F11" s="95">
        <f>'DOE25'!I12</f>
        <v>64908514.369999997</v>
      </c>
      <c r="G11" s="95">
        <f>'DOE25'!J12</f>
        <v>-1703884.8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843881.43</v>
      </c>
      <c r="D13" s="95">
        <f>'DOE25'!G14</f>
        <v>67231.59</v>
      </c>
      <c r="E13" s="95">
        <f>'DOE25'!H14</f>
        <v>1078292.43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2463.4499999999998</v>
      </c>
      <c r="D15" s="95">
        <f>'DOE25'!G16</f>
        <v>60235.58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101300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117791176.30000001</v>
      </c>
      <c r="D18" s="41">
        <f>SUM(D8:D17)</f>
        <v>7318490.3799999999</v>
      </c>
      <c r="E18" s="41">
        <f>SUM(E8:E17)</f>
        <v>41798022.189999998</v>
      </c>
      <c r="F18" s="41">
        <f>SUM(F8:F17)</f>
        <v>67824423.159999996</v>
      </c>
      <c r="G18" s="41">
        <f>SUM(G8:G17)</f>
        <v>4601145.84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111293265.16</v>
      </c>
      <c r="D21" s="95">
        <f>'DOE25'!G22</f>
        <v>7190056.6900000004</v>
      </c>
      <c r="E21" s="95">
        <f>'DOE25'!H22</f>
        <v>41495643.200000003</v>
      </c>
      <c r="F21" s="95">
        <f>'DOE25'!I22</f>
        <v>65334143.520000003</v>
      </c>
      <c r="G21" s="95">
        <f>'DOE25'!J22</f>
        <v>-1736138.1700000002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132045.22</v>
      </c>
      <c r="D27" s="95">
        <f>'DOE25'!G28</f>
        <v>787.5</v>
      </c>
      <c r="E27" s="95">
        <f>'DOE25'!H28</f>
        <v>142.33000000000001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2354596.08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14165</v>
      </c>
      <c r="D29" s="95">
        <f>'DOE25'!G30</f>
        <v>32755.79</v>
      </c>
      <c r="E29" s="95">
        <f>'DOE25'!H30</f>
        <v>580.98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113794071.45999999</v>
      </c>
      <c r="D31" s="41">
        <f>SUM(D21:D30)</f>
        <v>7223599.9800000004</v>
      </c>
      <c r="E31" s="41">
        <f>SUM(E21:E30)</f>
        <v>41496366.509999998</v>
      </c>
      <c r="F31" s="41">
        <f>SUM(F21:F30)</f>
        <v>65334143.520000003</v>
      </c>
      <c r="G31" s="41">
        <f>SUM(G21:G30)</f>
        <v>-1736138.1700000002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1872807.51</v>
      </c>
      <c r="D44" s="95">
        <f>'DOE25'!G45</f>
        <v>10305.040000000001</v>
      </c>
      <c r="E44" s="95">
        <f>'DOE25'!H45</f>
        <v>238044.52</v>
      </c>
      <c r="F44" s="95">
        <f>'DOE25'!I45</f>
        <v>562934.19999999995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2463.4499999999998</v>
      </c>
      <c r="D47" s="95">
        <f>'DOE25'!G48</f>
        <v>84585.36</v>
      </c>
      <c r="E47" s="95">
        <f>'DOE25'!H48</f>
        <v>63611.160000000382</v>
      </c>
      <c r="F47" s="95">
        <f>'DOE25'!I48</f>
        <v>1927345.4400000083</v>
      </c>
      <c r="G47" s="95">
        <f>'DOE25'!J48</f>
        <v>6337284.0099999998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2121833.88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3997104.84</v>
      </c>
      <c r="D50" s="41">
        <f>SUM(D34:D49)</f>
        <v>94890.4</v>
      </c>
      <c r="E50" s="41">
        <f>SUM(E34:E49)</f>
        <v>301655.6800000004</v>
      </c>
      <c r="F50" s="41">
        <f>SUM(F34:F49)</f>
        <v>2490279.640000008</v>
      </c>
      <c r="G50" s="41">
        <f>SUM(G34:G49)</f>
        <v>6337284.0099999998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117791176.3</v>
      </c>
      <c r="D51" s="41">
        <f>D50+D31</f>
        <v>7318490.3800000008</v>
      </c>
      <c r="E51" s="41">
        <f>E50+E31</f>
        <v>41798022.189999998</v>
      </c>
      <c r="F51" s="41">
        <f>F50+F31</f>
        <v>67824423.160000011</v>
      </c>
      <c r="G51" s="41">
        <f>G50+G31</f>
        <v>4601145.84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48503266.759999998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3465196.25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215650.29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35024.82</v>
      </c>
      <c r="D59" s="95">
        <f>'DOE25'!G96</f>
        <v>17.190000000000001</v>
      </c>
      <c r="E59" s="95">
        <f>'DOE25'!H96</f>
        <v>0</v>
      </c>
      <c r="F59" s="95">
        <f>'DOE25'!I96</f>
        <v>5636.2</v>
      </c>
      <c r="G59" s="95">
        <f>'DOE25'!J96</f>
        <v>22520.760000000002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736779.69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524911.89999999991</v>
      </c>
      <c r="D61" s="95">
        <f>SUM('DOE25'!G98:G110)</f>
        <v>8166.54</v>
      </c>
      <c r="E61" s="95">
        <f>SUM('DOE25'!H98:H110)</f>
        <v>134129.18</v>
      </c>
      <c r="F61" s="95">
        <f>SUM('DOE25'!I98:I110)</f>
        <v>0</v>
      </c>
      <c r="G61" s="95">
        <f>SUM('DOE25'!J98:J110)</f>
        <v>17619.09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4240783.26</v>
      </c>
      <c r="D62" s="130">
        <f>SUM(D57:D61)</f>
        <v>744963.41999999993</v>
      </c>
      <c r="E62" s="130">
        <f>SUM(E57:E61)</f>
        <v>134129.18</v>
      </c>
      <c r="F62" s="130">
        <f>SUM(F57:F61)</f>
        <v>5636.2</v>
      </c>
      <c r="G62" s="130">
        <f>SUM(G57:G61)</f>
        <v>40139.850000000006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52744050.019999996</v>
      </c>
      <c r="D63" s="22">
        <f>D56+D62</f>
        <v>744963.41999999993</v>
      </c>
      <c r="E63" s="22">
        <f>E56+E62</f>
        <v>134129.18</v>
      </c>
      <c r="F63" s="22">
        <f>F56+F62</f>
        <v>5636.2</v>
      </c>
      <c r="G63" s="22">
        <f>G56+G62</f>
        <v>40139.850000000006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13508349.380000001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8081293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66779.59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21656421.970000003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1003482.34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232214.94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1269192.44</v>
      </c>
      <c r="D76" s="24" t="s">
        <v>286</v>
      </c>
      <c r="E76" s="95">
        <f>SUM('DOE25'!H127:H130)</f>
        <v>60521.64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21929.54</v>
      </c>
      <c r="E77" s="95">
        <f>SUM('DOE25'!H131:H135)</f>
        <v>198149.06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2504889.7199999997</v>
      </c>
      <c r="D78" s="130">
        <f>SUM(D72:D77)</f>
        <v>21929.54</v>
      </c>
      <c r="E78" s="130">
        <f>SUM(E72:E77)</f>
        <v>258670.7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24161311.690000001</v>
      </c>
      <c r="D81" s="130">
        <f>SUM(D79:D80)+D78+D70</f>
        <v>21929.54</v>
      </c>
      <c r="E81" s="130">
        <f>SUM(E79:E80)+E78+E70</f>
        <v>258670.7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825730.22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1061844.3600000001</v>
      </c>
      <c r="D88" s="95">
        <f>SUM('DOE25'!G153:G161)</f>
        <v>1046694.46</v>
      </c>
      <c r="E88" s="95">
        <f>SUM('DOE25'!H153:H161)</f>
        <v>4316578.3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1887574.58</v>
      </c>
      <c r="D91" s="131">
        <f>SUM(D85:D90)</f>
        <v>1046694.46</v>
      </c>
      <c r="E91" s="131">
        <f>SUM(E85:E90)</f>
        <v>4316578.3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100000</v>
      </c>
      <c r="E96" s="95">
        <f>'DOE25'!H179</f>
        <v>0</v>
      </c>
      <c r="F96" s="95">
        <f>'DOE25'!I179</f>
        <v>0</v>
      </c>
      <c r="G96" s="95">
        <f>'DOE25'!J179</f>
        <v>572478</v>
      </c>
    </row>
    <row r="97" spans="1:7" x14ac:dyDescent="0.2">
      <c r="A97" t="s">
        <v>752</v>
      </c>
      <c r="B97" s="32" t="s">
        <v>188</v>
      </c>
      <c r="C97" s="95">
        <f>SUM('DOE25'!F180:F181)</f>
        <v>80663.320000000007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33116.019999999997</v>
      </c>
      <c r="F100" s="95">
        <f>SUM('DOE25'!I186:I187)</f>
        <v>168854.55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80663.320000000007</v>
      </c>
      <c r="D103" s="86">
        <f>SUM(D93:D102)</f>
        <v>100000</v>
      </c>
      <c r="E103" s="86">
        <f>SUM(E93:E102)</f>
        <v>33116.019999999997</v>
      </c>
      <c r="F103" s="86">
        <f>SUM(F93:F102)</f>
        <v>168854.55</v>
      </c>
      <c r="G103" s="86">
        <f>SUM(G93:G102)</f>
        <v>572478</v>
      </c>
    </row>
    <row r="104" spans="1:7" ht="12.75" thickTop="1" thickBot="1" x14ac:dyDescent="0.25">
      <c r="A104" s="33" t="s">
        <v>759</v>
      </c>
      <c r="C104" s="86">
        <f>C63+C81+C91+C103</f>
        <v>78873599.609999985</v>
      </c>
      <c r="D104" s="86">
        <f>D63+D81+D91+D103</f>
        <v>1913587.42</v>
      </c>
      <c r="E104" s="86">
        <f>E63+E81+E91+E103</f>
        <v>4742494.1999999993</v>
      </c>
      <c r="F104" s="86">
        <f>F63+F81+F91+F103</f>
        <v>174490.75</v>
      </c>
      <c r="G104" s="86">
        <f>G63+G81+G103</f>
        <v>612617.85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28932475.460000001</v>
      </c>
      <c r="D109" s="24" t="s">
        <v>286</v>
      </c>
      <c r="E109" s="95">
        <f>('DOE25'!L276)+('DOE25'!L295)+('DOE25'!L314)</f>
        <v>857834.55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13595229.75</v>
      </c>
      <c r="D110" s="24" t="s">
        <v>286</v>
      </c>
      <c r="E110" s="95">
        <f>('DOE25'!L277)+('DOE25'!L296)+('DOE25'!L315)</f>
        <v>1305607.4099999999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1544897.3299999998</v>
      </c>
      <c r="D111" s="24" t="s">
        <v>286</v>
      </c>
      <c r="E111" s="95">
        <f>('DOE25'!L278)+('DOE25'!L297)+('DOE25'!L316)</f>
        <v>368122.95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943149.87999999989</v>
      </c>
      <c r="D112" s="24" t="s">
        <v>286</v>
      </c>
      <c r="E112" s="95">
        <f>+('DOE25'!L279)+('DOE25'!L298)+('DOE25'!L317)</f>
        <v>364845.52999999997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172452.15</v>
      </c>
      <c r="D114" s="24" t="s">
        <v>286</v>
      </c>
      <c r="E114" s="95">
        <f>+ SUM('DOE25'!L333:L335)</f>
        <v>96675.5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45188204.57</v>
      </c>
      <c r="D115" s="86">
        <f>SUM(D109:D114)</f>
        <v>0</v>
      </c>
      <c r="E115" s="86">
        <f>SUM(E109:E114)</f>
        <v>2993085.94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5836086.46</v>
      </c>
      <c r="D118" s="24" t="s">
        <v>286</v>
      </c>
      <c r="E118" s="95">
        <f>+('DOE25'!L281)+('DOE25'!L300)+('DOE25'!L319)</f>
        <v>366063.88999999996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3889043.06</v>
      </c>
      <c r="D119" s="24" t="s">
        <v>286</v>
      </c>
      <c r="E119" s="95">
        <f>+('DOE25'!L282)+('DOE25'!L301)+('DOE25'!L320)</f>
        <v>583585.65000000014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997336.91</v>
      </c>
      <c r="D120" s="24" t="s">
        <v>286</v>
      </c>
      <c r="E120" s="95">
        <f>+('DOE25'!L283)+('DOE25'!L302)+('DOE25'!L321)</f>
        <v>574647.16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3910728.92</v>
      </c>
      <c r="D121" s="24" t="s">
        <v>286</v>
      </c>
      <c r="E121" s="95">
        <f>+('DOE25'!L284)+('DOE25'!L303)+('DOE25'!L322)</f>
        <v>17773.899999999998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832048.20999999985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5756193.9800000004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3182903.8000000003</v>
      </c>
      <c r="D124" s="24" t="s">
        <v>286</v>
      </c>
      <c r="E124" s="95">
        <f>+('DOE25'!L287)+('DOE25'!L306)+('DOE25'!L325)</f>
        <v>175126.28999999998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548205.32000000007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1839921.54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24952546.66</v>
      </c>
      <c r="D128" s="86">
        <f>SUM(D118:D127)</f>
        <v>1839921.54</v>
      </c>
      <c r="E128" s="86">
        <f>SUM(E118:E127)</f>
        <v>1717196.8900000001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208925.36</v>
      </c>
      <c r="D130" s="24" t="s">
        <v>286</v>
      </c>
      <c r="E130" s="129">
        <f>'DOE25'!L336</f>
        <v>33116.020000000004</v>
      </c>
      <c r="F130" s="129">
        <f>SUM('DOE25'!L374:'DOE25'!L380)</f>
        <v>6007527.7599999998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3383206.81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2602396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80663.320000000007</v>
      </c>
      <c r="F134" s="95">
        <f>'DOE25'!K381</f>
        <v>0</v>
      </c>
      <c r="G134" s="95">
        <f>'DOE25'!K434</f>
        <v>168854.55</v>
      </c>
    </row>
    <row r="135" spans="1:7" x14ac:dyDescent="0.2">
      <c r="A135" t="s">
        <v>233</v>
      </c>
      <c r="B135" s="32" t="s">
        <v>234</v>
      </c>
      <c r="C135" s="95">
        <f>'DOE25'!L263</f>
        <v>100000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612617.85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-40139.849999999977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66064.06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6933070.2299999995</v>
      </c>
      <c r="D144" s="141">
        <f>SUM(D130:D143)</f>
        <v>0</v>
      </c>
      <c r="E144" s="141">
        <f>SUM(E130:E143)</f>
        <v>113779.34000000001</v>
      </c>
      <c r="F144" s="141">
        <f>SUM(F130:F143)</f>
        <v>6007527.7599999998</v>
      </c>
      <c r="G144" s="141">
        <f>SUM(G130:G143)</f>
        <v>168854.55</v>
      </c>
    </row>
    <row r="145" spans="1:9" ht="12.75" thickTop="1" thickBot="1" x14ac:dyDescent="0.25">
      <c r="A145" s="33" t="s">
        <v>244</v>
      </c>
      <c r="C145" s="86">
        <f>(C115+C128+C144)</f>
        <v>77073821.460000008</v>
      </c>
      <c r="D145" s="86">
        <f>(D115+D128+D144)</f>
        <v>1839921.54</v>
      </c>
      <c r="E145" s="86">
        <f>(E115+E128+E144)</f>
        <v>4824062.17</v>
      </c>
      <c r="F145" s="86">
        <f>(F115+F128+F144)</f>
        <v>6007527.7599999998</v>
      </c>
      <c r="G145" s="86">
        <f>(G115+G128+G144)</f>
        <v>168854.55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 t="str">
        <f>'DOE25'!F490</f>
        <v>various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2/00 - 3/17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04/40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71294330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 t="str">
        <f>'DOE25'!F494</f>
        <v>various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59015000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59015000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2965000</v>
      </c>
    </row>
    <row r="159" spans="1:9" x14ac:dyDescent="0.2">
      <c r="A159" s="22" t="s">
        <v>35</v>
      </c>
      <c r="B159" s="137">
        <f>'DOE25'!F498</f>
        <v>56050000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56050000</v>
      </c>
    </row>
    <row r="160" spans="1:9" x14ac:dyDescent="0.2">
      <c r="A160" s="22" t="s">
        <v>36</v>
      </c>
      <c r="B160" s="137">
        <f>'DOE25'!F499</f>
        <v>2135049.5300000003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2135049.5300000003</v>
      </c>
    </row>
    <row r="161" spans="1:7" x14ac:dyDescent="0.2">
      <c r="A161" s="22" t="s">
        <v>37</v>
      </c>
      <c r="B161" s="137">
        <f>'DOE25'!F500</f>
        <v>58185049.530000001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58185049.530000001</v>
      </c>
    </row>
    <row r="162" spans="1:7" x14ac:dyDescent="0.2">
      <c r="A162" s="22" t="s">
        <v>38</v>
      </c>
      <c r="B162" s="137">
        <f>'DOE25'!F501</f>
        <v>2965000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2965000</v>
      </c>
    </row>
    <row r="163" spans="1:7" x14ac:dyDescent="0.2">
      <c r="A163" s="22" t="s">
        <v>39</v>
      </c>
      <c r="B163" s="137">
        <f>'DOE25'!F502</f>
        <v>2039667.62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2039667.62</v>
      </c>
    </row>
    <row r="164" spans="1:7" x14ac:dyDescent="0.2">
      <c r="A164" s="22" t="s">
        <v>246</v>
      </c>
      <c r="B164" s="137">
        <f>'DOE25'!F503</f>
        <v>5004667.62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5004667.62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7" sqref="C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Concord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17570</v>
      </c>
    </row>
    <row r="5" spans="1:4" x14ac:dyDescent="0.2">
      <c r="B5" t="s">
        <v>698</v>
      </c>
      <c r="C5" s="179">
        <f>IF('DOE25'!G665+'DOE25'!G670=0,0,ROUND('DOE25'!G672,0))</f>
        <v>14784</v>
      </c>
    </row>
    <row r="6" spans="1:4" x14ac:dyDescent="0.2">
      <c r="B6" t="s">
        <v>62</v>
      </c>
      <c r="C6" s="179">
        <f>IF('DOE25'!H665+'DOE25'!H670=0,0,ROUND('DOE25'!H672,0))</f>
        <v>14179</v>
      </c>
    </row>
    <row r="7" spans="1:4" x14ac:dyDescent="0.2">
      <c r="B7" t="s">
        <v>699</v>
      </c>
      <c r="C7" s="179">
        <f>IF('DOE25'!I665+'DOE25'!I670=0,0,ROUND('DOE25'!I672,0))</f>
        <v>15639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29790310</v>
      </c>
      <c r="D10" s="182">
        <f>ROUND((C10/$C$28)*100,1)</f>
        <v>37.9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14900837</v>
      </c>
      <c r="D11" s="182">
        <f>ROUND((C11/$C$28)*100,1)</f>
        <v>19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1913020</v>
      </c>
      <c r="D12" s="182">
        <f>ROUND((C12/$C$28)*100,1)</f>
        <v>2.4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1307995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6202150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4472629</v>
      </c>
      <c r="D16" s="182">
        <f t="shared" si="0"/>
        <v>5.7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2120189</v>
      </c>
      <c r="D17" s="182">
        <f t="shared" si="0"/>
        <v>2.7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3928503</v>
      </c>
      <c r="D18" s="182">
        <f t="shared" si="0"/>
        <v>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832048</v>
      </c>
      <c r="D19" s="182">
        <f t="shared" si="0"/>
        <v>1.1000000000000001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5756194</v>
      </c>
      <c r="D20" s="182">
        <f t="shared" si="0"/>
        <v>7.3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3358030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269128</v>
      </c>
      <c r="D24" s="182">
        <f t="shared" si="0"/>
        <v>0.3</v>
      </c>
    </row>
    <row r="25" spans="1:4" x14ac:dyDescent="0.2">
      <c r="A25">
        <v>5120</v>
      </c>
      <c r="B25" t="s">
        <v>714</v>
      </c>
      <c r="C25" s="179">
        <f>ROUND('DOE25'!L261+'DOE25'!L342,0)</f>
        <v>2602396</v>
      </c>
      <c r="D25" s="182">
        <f t="shared" si="0"/>
        <v>3.3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66064.06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1094975.77</v>
      </c>
      <c r="D27" s="182">
        <f t="shared" si="0"/>
        <v>1.4</v>
      </c>
    </row>
    <row r="28" spans="1:4" x14ac:dyDescent="0.2">
      <c r="B28" s="187" t="s">
        <v>717</v>
      </c>
      <c r="C28" s="180">
        <f>SUM(C10:C27)</f>
        <v>78614468.829999998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6249569</v>
      </c>
    </row>
    <row r="30" spans="1:4" x14ac:dyDescent="0.2">
      <c r="B30" s="187" t="s">
        <v>723</v>
      </c>
      <c r="C30" s="180">
        <f>SUM(C28:C29)</f>
        <v>84864037.829999998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3383207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48503267</v>
      </c>
      <c r="D35" s="182">
        <f t="shared" ref="D35:D40" si="1">ROUND((C35/$C$41)*100,1)</f>
        <v>57.3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4420705.4400000051</v>
      </c>
      <c r="D36" s="182">
        <f t="shared" si="1"/>
        <v>5.2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21589642</v>
      </c>
      <c r="D37" s="182">
        <f t="shared" si="1"/>
        <v>25.5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2852270</v>
      </c>
      <c r="D38" s="182">
        <f t="shared" si="1"/>
        <v>3.4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7250847</v>
      </c>
      <c r="D39" s="182">
        <f t="shared" si="1"/>
        <v>8.6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84616731.439999998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Concord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2018-10-04T16:14:12Z</cp:lastPrinted>
  <dcterms:created xsi:type="dcterms:W3CDTF">1997-12-04T19:04:30Z</dcterms:created>
  <dcterms:modified xsi:type="dcterms:W3CDTF">2018-12-03T18:36:37Z</dcterms:modified>
</cp:coreProperties>
</file>