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0490" windowHeight="89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/>
  <c r="F40" i="2"/>
  <c r="D39" i="2"/>
  <c r="G655" i="1"/>
  <c r="F48" i="2"/>
  <c r="E48" i="2"/>
  <c r="D48" i="2"/>
  <c r="C48" i="2"/>
  <c r="F47" i="2"/>
  <c r="F50" i="2" s="1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D5" i="13" s="1"/>
  <c r="C5" i="13" s="1"/>
  <c r="G5" i="13"/>
  <c r="L197" i="1"/>
  <c r="L198" i="1"/>
  <c r="L199" i="1"/>
  <c r="L200" i="1"/>
  <c r="L215" i="1"/>
  <c r="L216" i="1"/>
  <c r="L217" i="1"/>
  <c r="L218" i="1"/>
  <c r="L233" i="1"/>
  <c r="L234" i="1"/>
  <c r="L235" i="1"/>
  <c r="C12" i="10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L362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3" i="1" s="1"/>
  <c r="C138" i="2" s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112" i="1" s="1"/>
  <c r="F94" i="1"/>
  <c r="F111" i="1"/>
  <c r="G111" i="1"/>
  <c r="G112" i="1"/>
  <c r="H79" i="1"/>
  <c r="H94" i="1"/>
  <c r="H111" i="1"/>
  <c r="H112" i="1" s="1"/>
  <c r="I111" i="1"/>
  <c r="I112" i="1" s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2" i="1" s="1"/>
  <c r="G636" i="1" s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 s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K271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 s="1"/>
  <c r="G9" i="2" s="1"/>
  <c r="C10" i="2"/>
  <c r="C11" i="2"/>
  <c r="D11" i="2"/>
  <c r="E11" i="2"/>
  <c r="E18" i="2" s="1"/>
  <c r="F11" i="2"/>
  <c r="I441" i="1"/>
  <c r="J12" i="1" s="1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J32" i="1" s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I460" i="1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C74" i="2"/>
  <c r="C75" i="2"/>
  <c r="C76" i="2"/>
  <c r="C77" i="2"/>
  <c r="C78" i="2"/>
  <c r="C79" i="2"/>
  <c r="C80" i="2"/>
  <c r="F73" i="2"/>
  <c r="E76" i="2"/>
  <c r="F76" i="2"/>
  <c r="D77" i="2"/>
  <c r="D78" i="2"/>
  <c r="E77" i="2"/>
  <c r="F77" i="2"/>
  <c r="G77" i="2"/>
  <c r="G78" i="2"/>
  <c r="G81" i="2"/>
  <c r="D79" i="2"/>
  <c r="E79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F103" i="2" s="1"/>
  <c r="C94" i="2"/>
  <c r="F94" i="2"/>
  <c r="D96" i="2"/>
  <c r="E96" i="2"/>
  <c r="F96" i="2"/>
  <c r="G96" i="2"/>
  <c r="G103" i="2" s="1"/>
  <c r="G104" i="2" s="1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C115" i="2" s="1"/>
  <c r="E111" i="2"/>
  <c r="C112" i="2"/>
  <c r="E112" i="2"/>
  <c r="C113" i="2"/>
  <c r="E113" i="2"/>
  <c r="C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F128" i="2"/>
  <c r="G128" i="2"/>
  <c r="C130" i="2"/>
  <c r="E130" i="2"/>
  <c r="F130" i="2"/>
  <c r="F144" i="2" s="1"/>
  <c r="F145" i="2" s="1"/>
  <c r="D134" i="2"/>
  <c r="D144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G619" i="1" s="1"/>
  <c r="I19" i="1"/>
  <c r="G620" i="1" s="1"/>
  <c r="F32" i="1"/>
  <c r="F52" i="1"/>
  <c r="G32" i="1"/>
  <c r="H32" i="1"/>
  <c r="I32" i="1"/>
  <c r="H617" i="1"/>
  <c r="G52" i="1"/>
  <c r="H618" i="1"/>
  <c r="H51" i="1"/>
  <c r="I51" i="1"/>
  <c r="G625" i="1" s="1"/>
  <c r="F177" i="1"/>
  <c r="I177" i="1"/>
  <c r="F183" i="1"/>
  <c r="G183" i="1"/>
  <c r="H183" i="1"/>
  <c r="I183" i="1"/>
  <c r="J183" i="1"/>
  <c r="J192" i="1" s="1"/>
  <c r="J193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257" i="1" s="1"/>
  <c r="K247" i="1"/>
  <c r="F256" i="1"/>
  <c r="G256" i="1"/>
  <c r="H256" i="1"/>
  <c r="I256" i="1"/>
  <c r="J256" i="1"/>
  <c r="K256" i="1"/>
  <c r="F257" i="1"/>
  <c r="F271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H338" i="1" s="1"/>
  <c r="H352" i="1" s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G461" i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F545" i="1" s="1"/>
  <c r="G524" i="1"/>
  <c r="G545" i="1" s="1"/>
  <c r="H524" i="1"/>
  <c r="H545" i="1" s="1"/>
  <c r="I524" i="1"/>
  <c r="J524" i="1"/>
  <c r="K524" i="1"/>
  <c r="K54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J649" i="1" s="1"/>
  <c r="I598" i="1"/>
  <c r="H650" i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J617" i="1" s="1"/>
  <c r="G618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G640" i="1"/>
  <c r="H640" i="1"/>
  <c r="G641" i="1"/>
  <c r="H641" i="1"/>
  <c r="G643" i="1"/>
  <c r="H643" i="1"/>
  <c r="G644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I257" i="1"/>
  <c r="I271" i="1"/>
  <c r="G257" i="1"/>
  <c r="G271" i="1"/>
  <c r="G164" i="2"/>
  <c r="C18" i="2"/>
  <c r="C26" i="10"/>
  <c r="L328" i="1"/>
  <c r="L351" i="1"/>
  <c r="I662" i="1"/>
  <c r="L290" i="1"/>
  <c r="F660" i="1"/>
  <c r="A40" i="12"/>
  <c r="D12" i="13"/>
  <c r="C12" i="13"/>
  <c r="D62" i="2"/>
  <c r="D63" i="2"/>
  <c r="D18" i="13"/>
  <c r="C18" i="13"/>
  <c r="D15" i="13"/>
  <c r="C15" i="13" s="1"/>
  <c r="D7" i="13"/>
  <c r="C7" i="13"/>
  <c r="D18" i="2"/>
  <c r="D17" i="13"/>
  <c r="C17" i="13"/>
  <c r="D6" i="13"/>
  <c r="C6" i="13"/>
  <c r="E8" i="13"/>
  <c r="C8" i="13"/>
  <c r="C91" i="2"/>
  <c r="F78" i="2"/>
  <c r="F81" i="2"/>
  <c r="D31" i="2"/>
  <c r="C128" i="2"/>
  <c r="D50" i="2"/>
  <c r="G157" i="2"/>
  <c r="G161" i="2"/>
  <c r="G156" i="2"/>
  <c r="E103" i="2"/>
  <c r="D91" i="2"/>
  <c r="E31" i="2"/>
  <c r="G62" i="2"/>
  <c r="D19" i="13"/>
  <c r="C19" i="13"/>
  <c r="D14" i="13"/>
  <c r="C14" i="13"/>
  <c r="E13" i="13"/>
  <c r="C13" i="13"/>
  <c r="E78" i="2"/>
  <c r="E81" i="2"/>
  <c r="L427" i="1"/>
  <c r="J641" i="1"/>
  <c r="J571" i="1"/>
  <c r="K571" i="1"/>
  <c r="L433" i="1"/>
  <c r="L419" i="1"/>
  <c r="D81" i="2"/>
  <c r="I169" i="1"/>
  <c r="H169" i="1"/>
  <c r="G552" i="1"/>
  <c r="J643" i="1"/>
  <c r="F476" i="1"/>
  <c r="H622" i="1" s="1"/>
  <c r="G476" i="1"/>
  <c r="H623" i="1"/>
  <c r="J623" i="1"/>
  <c r="G338" i="1"/>
  <c r="G352" i="1"/>
  <c r="F169" i="1"/>
  <c r="J140" i="1"/>
  <c r="F571" i="1"/>
  <c r="I552" i="1"/>
  <c r="K549" i="1"/>
  <c r="K550" i="1"/>
  <c r="G22" i="2"/>
  <c r="K598" i="1"/>
  <c r="G647" i="1" s="1"/>
  <c r="J647" i="1" s="1"/>
  <c r="J552" i="1"/>
  <c r="H552" i="1"/>
  <c r="H140" i="1"/>
  <c r="F22" i="13"/>
  <c r="H25" i="13"/>
  <c r="C25" i="13"/>
  <c r="J640" i="1"/>
  <c r="J634" i="1"/>
  <c r="H571" i="1"/>
  <c r="L560" i="1"/>
  <c r="J545" i="1"/>
  <c r="F338" i="1"/>
  <c r="F352" i="1"/>
  <c r="G192" i="1"/>
  <c r="H192" i="1"/>
  <c r="E128" i="2"/>
  <c r="C35" i="10"/>
  <c r="L309" i="1"/>
  <c r="E16" i="13"/>
  <c r="E33" i="13"/>
  <c r="D35" i="13"/>
  <c r="L570" i="1"/>
  <c r="I571" i="1"/>
  <c r="I545" i="1"/>
  <c r="G36" i="2"/>
  <c r="L565" i="1"/>
  <c r="C22" i="13"/>
  <c r="C16" i="13"/>
  <c r="H33" i="13"/>
  <c r="F62" i="2"/>
  <c r="F63" i="2"/>
  <c r="C23" i="10"/>
  <c r="G163" i="2"/>
  <c r="G162" i="2"/>
  <c r="G160" i="2"/>
  <c r="G159" i="2"/>
  <c r="G158" i="2"/>
  <c r="C103" i="2"/>
  <c r="F91" i="2"/>
  <c r="E50" i="2"/>
  <c r="E51" i="2" s="1"/>
  <c r="C50" i="2"/>
  <c r="C51" i="2" s="1"/>
  <c r="C31" i="2"/>
  <c r="E144" i="2"/>
  <c r="G31" i="13"/>
  <c r="G33" i="13"/>
  <c r="I338" i="1"/>
  <c r="I352" i="1"/>
  <c r="J650" i="1"/>
  <c r="L407" i="1"/>
  <c r="C140" i="2"/>
  <c r="L571" i="1"/>
  <c r="I192" i="1"/>
  <c r="E91" i="2"/>
  <c r="D51" i="2"/>
  <c r="J654" i="1"/>
  <c r="J653" i="1"/>
  <c r="G21" i="2"/>
  <c r="G31" i="2" s="1"/>
  <c r="L434" i="1"/>
  <c r="G638" i="1"/>
  <c r="J638" i="1"/>
  <c r="J434" i="1"/>
  <c r="F434" i="1"/>
  <c r="K434" i="1"/>
  <c r="G134" i="2"/>
  <c r="G144" i="2"/>
  <c r="G145" i="2"/>
  <c r="F31" i="13"/>
  <c r="G169" i="1"/>
  <c r="C39" i="10"/>
  <c r="G140" i="1"/>
  <c r="F140" i="1"/>
  <c r="G63" i="2"/>
  <c r="J618" i="1"/>
  <c r="G42" i="2"/>
  <c r="G16" i="2"/>
  <c r="H434" i="1"/>
  <c r="D103" i="2"/>
  <c r="D104" i="2"/>
  <c r="I140" i="1"/>
  <c r="A22" i="12"/>
  <c r="J652" i="1"/>
  <c r="G571" i="1"/>
  <c r="I434" i="1"/>
  <c r="G434" i="1"/>
  <c r="G193" i="1"/>
  <c r="G628" i="1"/>
  <c r="J628" i="1"/>
  <c r="C38" i="10"/>
  <c r="I663" i="1" l="1"/>
  <c r="K551" i="1"/>
  <c r="K552" i="1" s="1"/>
  <c r="F552" i="1"/>
  <c r="L524" i="1"/>
  <c r="L545" i="1" s="1"/>
  <c r="C70" i="2"/>
  <c r="C81" i="2" s="1"/>
  <c r="F193" i="1"/>
  <c r="G627" i="1" s="1"/>
  <c r="C57" i="2"/>
  <c r="C62" i="2" s="1"/>
  <c r="C63" i="2" s="1"/>
  <c r="C104" i="2" s="1"/>
  <c r="J627" i="1"/>
  <c r="J622" i="1"/>
  <c r="H193" i="1"/>
  <c r="G629" i="1" s="1"/>
  <c r="E104" i="2"/>
  <c r="J271" i="1"/>
  <c r="H648" i="1"/>
  <c r="L257" i="1"/>
  <c r="F33" i="13"/>
  <c r="L337" i="1"/>
  <c r="L338" i="1" s="1"/>
  <c r="L352" i="1" s="1"/>
  <c r="G633" i="1" s="1"/>
  <c r="C27" i="10"/>
  <c r="G635" i="1"/>
  <c r="J635" i="1" s="1"/>
  <c r="G661" i="1"/>
  <c r="D127" i="2"/>
  <c r="D128" i="2" s="1"/>
  <c r="D145" i="2" s="1"/>
  <c r="F661" i="1"/>
  <c r="D29" i="13"/>
  <c r="C29" i="13" s="1"/>
  <c r="H660" i="1"/>
  <c r="H664" i="1" s="1"/>
  <c r="H257" i="1"/>
  <c r="H271" i="1" s="1"/>
  <c r="G660" i="1"/>
  <c r="J629" i="1"/>
  <c r="K605" i="1"/>
  <c r="G648" i="1" s="1"/>
  <c r="J648" i="1" s="1"/>
  <c r="E115" i="2"/>
  <c r="E145" i="2" s="1"/>
  <c r="H476" i="1"/>
  <c r="H624" i="1" s="1"/>
  <c r="J624" i="1" s="1"/>
  <c r="J633" i="1"/>
  <c r="H52" i="1"/>
  <c r="H619" i="1" s="1"/>
  <c r="J619" i="1"/>
  <c r="I52" i="1"/>
  <c r="H620" i="1" s="1"/>
  <c r="I476" i="1"/>
  <c r="H625" i="1" s="1"/>
  <c r="J625" i="1" s="1"/>
  <c r="J636" i="1"/>
  <c r="F18" i="2"/>
  <c r="F31" i="2"/>
  <c r="F51" i="2" s="1"/>
  <c r="J48" i="1"/>
  <c r="G47" i="2" s="1"/>
  <c r="G50" i="2" s="1"/>
  <c r="I446" i="1"/>
  <c r="G642" i="1" s="1"/>
  <c r="D31" i="13"/>
  <c r="C24" i="10"/>
  <c r="C29" i="10"/>
  <c r="F664" i="1"/>
  <c r="G408" i="1"/>
  <c r="H645" i="1" s="1"/>
  <c r="G645" i="1"/>
  <c r="L270" i="1"/>
  <c r="L271" i="1" s="1"/>
  <c r="G632" i="1" s="1"/>
  <c r="J632" i="1" s="1"/>
  <c r="J655" i="1"/>
  <c r="H408" i="1"/>
  <c r="H644" i="1" s="1"/>
  <c r="J644" i="1" s="1"/>
  <c r="C141" i="2"/>
  <c r="C144" i="2" s="1"/>
  <c r="C145" i="2" s="1"/>
  <c r="L408" i="1"/>
  <c r="J645" i="1"/>
  <c r="G646" i="1"/>
  <c r="G631" i="1"/>
  <c r="J631" i="1" s="1"/>
  <c r="G51" i="2"/>
  <c r="F461" i="1"/>
  <c r="H639" i="1" s="1"/>
  <c r="J639" i="1" s="1"/>
  <c r="I461" i="1"/>
  <c r="H642" i="1" s="1"/>
  <c r="J642" i="1" s="1"/>
  <c r="J51" i="1"/>
  <c r="G626" i="1" s="1"/>
  <c r="J626" i="1" s="1"/>
  <c r="J19" i="1"/>
  <c r="G621" i="1" s="1"/>
  <c r="G11" i="2"/>
  <c r="G18" i="2" s="1"/>
  <c r="F104" i="2"/>
  <c r="I193" i="1"/>
  <c r="G630" i="1" s="1"/>
  <c r="J630" i="1" s="1"/>
  <c r="C36" i="10"/>
  <c r="J620" i="1"/>
  <c r="G664" i="1" l="1"/>
  <c r="G667" i="1" s="1"/>
  <c r="I661" i="1"/>
  <c r="I660" i="1"/>
  <c r="I664" i="1" s="1"/>
  <c r="I667" i="1" s="1"/>
  <c r="G672" i="1"/>
  <c r="C5" i="10" s="1"/>
  <c r="H667" i="1"/>
  <c r="H672" i="1"/>
  <c r="C6" i="10" s="1"/>
  <c r="J52" i="1"/>
  <c r="H621" i="1" s="1"/>
  <c r="J621" i="1" s="1"/>
  <c r="C28" i="10"/>
  <c r="D24" i="10" s="1"/>
  <c r="D33" i="13"/>
  <c r="D36" i="13" s="1"/>
  <c r="C31" i="13"/>
  <c r="F667" i="1"/>
  <c r="F672" i="1"/>
  <c r="C4" i="10" s="1"/>
  <c r="H646" i="1"/>
  <c r="J646" i="1" s="1"/>
  <c r="G637" i="1"/>
  <c r="J637" i="1" s="1"/>
  <c r="H656" i="1"/>
  <c r="C41" i="10"/>
  <c r="D36" i="10" s="1"/>
  <c r="I672" i="1" l="1"/>
  <c r="C7" i="10" s="1"/>
  <c r="C30" i="10"/>
  <c r="D22" i="10"/>
  <c r="D21" i="10"/>
  <c r="D15" i="10"/>
  <c r="D20" i="10"/>
  <c r="D19" i="10"/>
  <c r="D25" i="10"/>
  <c r="D26" i="10"/>
  <c r="D10" i="10"/>
  <c r="D23" i="10"/>
  <c r="D16" i="10"/>
  <c r="D17" i="10"/>
  <c r="D18" i="10"/>
  <c r="D27" i="10"/>
  <c r="D12" i="10"/>
  <c r="D11" i="10"/>
  <c r="D13" i="10"/>
  <c r="D35" i="10"/>
  <c r="D38" i="10"/>
  <c r="D40" i="10"/>
  <c r="D37" i="10"/>
  <c r="D39" i="10"/>
  <c r="D28" i="10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<sst xmlns="http://schemas.openxmlformats.org/spreadsheetml/2006/main" count="3959" uniqueCount="915">
  <si>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</si>
  <si>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</si>
  <si>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</si>
  <si>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</si>
  <si>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</si>
  <si>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</si>
  <si>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</si>
  <si>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</si>
  <si>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</si>
  <si>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</si>
  <si>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</si>
  <si>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</si>
  <si>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</si>
  <si>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</si>
  <si>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</si>
  <si>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</si>
  <si>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</si>
  <si>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</si>
  <si>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</si>
  <si>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</si>
  <si>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</si>
  <si>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</si>
  <si>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</si>
  <si>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</si>
  <si>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</si>
  <si>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</si>
  <si>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</si>
  <si>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</si>
  <si>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</si>
  <si>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</si>
  <si>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</si>
  <si>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</si>
  <si>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</si>
  <si>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</si>
  <si>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</si>
  <si>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</si>
  <si>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</si>
  <si>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</si>
  <si>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</si>
  <si>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</si>
  <si>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</si>
  <si>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</si>
  <si>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</si>
  <si>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</si>
  <si>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</si>
  <si>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</si>
  <si>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</si>
  <si>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</si>
  <si>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</si>
  <si>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</si>
  <si>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</si>
  <si>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</si>
  <si>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</si>
  <si>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</si>
  <si>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</si>
  <si>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</si>
  <si>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</si>
  <si>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</si>
  <si>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</si>
  <si>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</si>
  <si>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</si>
  <si>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</si>
  <si>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</si>
  <si>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</si>
  <si>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</si>
  <si>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</si>
  <si>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</si>
  <si>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</si>
  <si>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</si>
  <si>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</si>
  <si>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</si>
  <si>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</si>
  <si>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</si>
  <si>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</si>
  <si>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</si>
  <si>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</si>
  <si>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</si>
  <si>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</si>
  <si>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</si>
  <si>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</si>
  <si>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</si>
  <si>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</si>
  <si>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</si>
  <si>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</si>
  <si>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</si>
  <si>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</si>
  <si>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</si>
  <si>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</si>
  <si>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</si>
  <si>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</si>
  <si>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</si>
  <si>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</si>
  <si>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</si>
  <si>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</si>
  <si>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</si>
  <si>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</si>
  <si>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</si>
  <si>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</si>
  <si>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</si>
  <si>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</si>
  <si>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</si>
  <si>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</si>
  <si>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</si>
  <si>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</si>
  <si>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</si>
  <si>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</si>
  <si>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</si>
  <si>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</si>
  <si>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</si>
  <si>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</si>
  <si>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</si>
  <si>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</si>
  <si>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</si>
  <si>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</si>
  <si>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</si>
  <si>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</si>
  <si>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</si>
  <si>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</si>
  <si>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</si>
  <si>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</si>
  <si>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</si>
  <si>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</si>
  <si>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</si>
  <si>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</si>
  <si>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</si>
  <si>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</si>
  <si>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</si>
  <si>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</si>
  <si>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</si>
  <si>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</si>
  <si>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</si>
  <si>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</si>
  <si>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</si>
  <si>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</si>
  <si>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</si>
  <si>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</si>
  <si>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</si>
  <si>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</si>
  <si>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</si>
  <si>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</si>
  <si>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</si>
  <si>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</si>
  <si>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</si>
  <si>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</si>
  <si>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</si>
  <si>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</si>
  <si>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</si>
  <si>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</si>
  <si>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</si>
  <si>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</si>
  <si>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</si>
  <si>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</si>
  <si>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</si>
  <si>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</si>
  <si>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</si>
  <si>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</si>
  <si>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</si>
  <si>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</si>
  <si>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</si>
  <si>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</si>
  <si>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</si>
  <si>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</si>
  <si>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</si>
  <si>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</si>
  <si>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</si>
  <si>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</si>
  <si>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</si>
  <si>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</si>
  <si>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</si>
  <si>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</si>
  <si>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</si>
  <si>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</si>
  <si>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</si>
  <si>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</si>
  <si>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</si>
  <si>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</si>
  <si>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</si>
  <si>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</si>
  <si>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</si>
  <si>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</si>
  <si>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</si>
  <si>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</si>
  <si>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</si>
  <si>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</si>
  <si>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</si>
  <si>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</si>
  <si>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</si>
  <si>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</si>
  <si>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</si>
  <si>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</si>
  <si>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</si>
  <si>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</si>
  <si>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</si>
  <si>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</si>
  <si>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</si>
  <si>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</si>
  <si>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</si>
  <si>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</si>
  <si>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</si>
  <si>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</si>
  <si>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</si>
  <si>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</si>
  <si>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</si>
  <si>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</si>
  <si>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</si>
  <si>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</si>
  <si>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</si>
  <si>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</si>
  <si>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</si>
  <si>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</si>
  <si>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</si>
  <si>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</si>
  <si>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</si>
  <si>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</si>
  <si>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</si>
  <si>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</si>
  <si>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</si>
  <si>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</si>
  <si>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</si>
  <si>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</si>
  <si>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</si>
  <si>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</si>
  <si>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</si>
  <si>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</si>
  <si>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</si>
  <si>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</si>
  <si>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</si>
  <si>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</si>
  <si>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</si>
  <si>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</si>
  <si>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</si>
  <si>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</si>
  <si>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</si>
  <si>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</si>
  <si>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</si>
  <si>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</si>
  <si>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</si>
  <si>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</si>
  <si>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</si>
  <si>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</si>
  <si>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</si>
  <si>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</si>
  <si>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</si>
  <si>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</si>
  <si>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</si>
  <si>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</si>
  <si>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</si>
  <si>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</si>
  <si>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</si>
  <si>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</si>
  <si>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</si>
  <si>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</si>
  <si>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</si>
  <si>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</si>
  <si>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</si>
  <si>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</si>
  <si>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</si>
  <si>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</si>
  <si>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</si>
  <si>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</si>
  <si>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</si>
  <si>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</si>
  <si>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</si>
  <si>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</si>
  <si>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</si>
  <si>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</si>
  <si>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</si>
  <si>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</si>
  <si>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</si>
  <si>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</si>
  <si>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</si>
  <si>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</si>
  <si>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</si>
  <si>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</si>
  <si>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</si>
  <si>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</si>
  <si>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</si>
  <si>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</si>
  <si>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</si>
  <si>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</si>
  <si>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</si>
  <si>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</si>
  <si>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</si>
  <si>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</si>
  <si>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</si>
  <si>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</si>
  <si>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</si>
  <si>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</si>
  <si>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</si>
  <si>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</si>
  <si>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</si>
  <si>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</si>
  <si>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</si>
  <si>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</si>
  <si>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</si>
  <si>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</si>
  <si>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</si>
  <si>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</si>
  <si>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</si>
  <si>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</si>
  <si>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</si>
  <si>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</si>
  <si>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</si>
  <si>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</si>
  <si>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</si>
  <si>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</si>
  <si>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</si>
  <si>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</si>
  <si>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</si>
  <si>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</si>
  <si>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</si>
  <si>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</si>
  <si>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</si>
  <si>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</si>
  <si>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</si>
  <si>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</si>
  <si>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</si>
  <si>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</si>
  <si>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</si>
  <si>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</si>
  <si>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</si>
  <si>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</si>
  <si>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</si>
  <si>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</si>
  <si>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</si>
  <si>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</si>
  <si>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</si>
  <si>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</si>
  <si>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</si>
  <si>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</si>
  <si>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</si>
  <si>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</si>
  <si>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</si>
  <si>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</si>
  <si>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</si>
  <si>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</si>
  <si>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</si>
  <si>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</si>
  <si>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</si>
  <si>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</si>
  <si>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</si>
  <si>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</si>
  <si>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</si>
  <si>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</si>
  <si>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</si>
  <si>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</si>
  <si>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</si>
  <si>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</si>
  <si>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</si>
  <si>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</si>
  <si>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</si>
  <si>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</si>
  <si>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</si>
  <si>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</si>
  <si>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</si>
  <si>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</si>
  <si>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</si>
  <si>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</si>
  <si>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</si>
  <si>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</si>
  <si>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</si>
  <si>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</si>
  <si>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</si>
  <si>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</si>
  <si>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</si>
  <si>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</si>
  <si>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</si>
  <si>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</si>
  <si>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</si>
  <si>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</si>
  <si>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</si>
  <si>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</si>
  <si>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</si>
  <si>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</si>
  <si>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</si>
  <si>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</si>
  <si>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</si>
  <si>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</si>
  <si>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</si>
  <si>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</si>
  <si>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</si>
  <si>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</si>
  <si>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</si>
  <si>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</si>
  <si>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</si>
  <si>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</si>
  <si>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</si>
  <si>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</si>
  <si>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</si>
  <si>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</si>
  <si>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</si>
  <si>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</si>
  <si>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</si>
  <si>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</si>
  <si>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</si>
  <si>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</si>
  <si>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</si>
  <si>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</si>
  <si>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</si>
  <si>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</si>
  <si>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</si>
  <si>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</si>
  <si>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</si>
  <si>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</si>
  <si>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</si>
  <si>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</si>
  <si>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</si>
  <si>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</si>
  <si>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</si>
  <si>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</si>
  <si>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</si>
  <si>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</si>
  <si>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</si>
  <si>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</si>
  <si>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</si>
  <si>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</si>
  <si>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</si>
  <si>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</si>
  <si>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</si>
  <si>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</si>
  <si>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</si>
  <si>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</si>
  <si>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</si>
  <si>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</si>
  <si>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</si>
  <si>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</si>
  <si>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</si>
  <si>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</si>
  <si>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</si>
  <si>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</si>
  <si>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</si>
  <si>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</si>
  <si>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</si>
  <si>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</si>
  <si>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</si>
  <si>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</si>
  <si>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</si>
  <si>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</si>
  <si>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</si>
  <si>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</si>
  <si>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</si>
  <si>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</si>
  <si>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</si>
  <si>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</si>
  <si>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</si>
  <si>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</si>
  <si>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</si>
  <si>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</si>
  <si>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</si>
  <si>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</si>
  <si>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</si>
  <si>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</si>
  <si>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</si>
  <si>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</si>
  <si>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</si>
  <si>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</si>
  <si>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</si>
  <si>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</si>
  <si>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</si>
  <si>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</si>
  <si>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</si>
  <si>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</si>
  <si>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</si>
  <si>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</si>
  <si>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</si>
  <si>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</si>
  <si>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</si>
  <si>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</si>
  <si>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</si>
  <si>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</si>
  <si>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</si>
  <si>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</si>
  <si>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</si>
  <si>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</si>
  <si>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</si>
  <si>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</si>
  <si>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</si>
  <si>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</si>
  <si>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</si>
  <si>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</si>
  <si>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</si>
  <si>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</si>
  <si>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</si>
  <si>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</si>
  <si>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</si>
  <si>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</si>
  <si>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</si>
  <si>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</si>
  <si>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</si>
  <si>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</si>
  <si>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</si>
  <si>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</si>
  <si>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</si>
  <si>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</si>
  <si>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</si>
  <si>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</si>
  <si>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</si>
  <si>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</si>
  <si>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</si>
  <si>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</si>
  <si>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</si>
  <si>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</si>
  <si>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</si>
  <si>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</si>
  <si>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</si>
  <si>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</si>
  <si>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</si>
  <si>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</si>
  <si>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</si>
  <si>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</si>
  <si>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</si>
  <si>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</si>
  <si>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</si>
  <si>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</si>
  <si>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</si>
  <si>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</si>
  <si>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</si>
  <si>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</si>
  <si>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</si>
  <si>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</si>
  <si>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</si>
  <si>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</si>
  <si>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</si>
  <si>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</si>
  <si>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</si>
  <si>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</si>
  <si>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</si>
  <si>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</si>
  <si>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</si>
  <si>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</si>
  <si>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</si>
  <si>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</si>
  <si>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</si>
  <si>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</si>
  <si>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</si>
  <si>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</si>
  <si>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</si>
  <si>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</si>
  <si>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</si>
  <si>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</si>
  <si>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</si>
  <si>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</si>
  <si>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</si>
  <si>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</si>
  <si>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</si>
  <si>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</si>
  <si>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</si>
  <si>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</si>
  <si>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</si>
  <si>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</si>
  <si>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</si>
  <si>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</si>
  <si>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</si>
  <si>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</si>
  <si>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</si>
  <si>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</si>
  <si>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</si>
  <si>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</si>
  <si>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</si>
  <si>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</si>
  <si>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</si>
  <si>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</si>
  <si>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</si>
  <si>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</si>
  <si>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</si>
  <si>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</si>
  <si>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</si>
  <si>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</si>
  <si>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</si>
  <si>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</si>
  <si>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</si>
  <si>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</si>
  <si>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</si>
  <si>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</si>
  <si>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</si>
  <si>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</si>
  <si>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</si>
  <si>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</si>
  <si>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</si>
  <si>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</si>
  <si>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</si>
  <si>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</si>
  <si>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</si>
  <si>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</si>
  <si>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</si>
  <si>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</si>
  <si>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</si>
  <si>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</si>
  <si>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</si>
  <si>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</si>
  <si>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</si>
  <si>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</si>
  <si>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</si>
  <si>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</si>
  <si>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</si>
  <si>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</si>
  <si>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</si>
  <si>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</si>
  <si>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</si>
  <si>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</si>
  <si>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</si>
  <si>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</si>
  <si>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</si>
  <si>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</si>
  <si>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</si>
  <si>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</si>
  <si>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</si>
  <si>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</si>
  <si>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</si>
  <si>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</si>
  <si>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</si>
  <si>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</si>
  <si>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</si>
  <si>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</si>
  <si>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</si>
  <si>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</si>
  <si>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</si>
  <si>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</si>
  <si>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</si>
  <si>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</si>
  <si>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</si>
  <si>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</si>
  <si>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</si>
  <si>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</si>
  <si>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</si>
  <si>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</si>
  <si>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</si>
  <si>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</si>
  <si>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</si>
  <si>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</si>
  <si>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</si>
  <si>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</si>
  <si>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</si>
  <si>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</si>
  <si>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</si>
  <si>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</si>
  <si>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</si>
  <si>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</si>
  <si>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</si>
  <si>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</si>
  <si>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</si>
  <si>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</si>
  <si>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</si>
  <si>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</si>
  <si>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</si>
  <si>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</si>
  <si>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</si>
  <si>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</si>
  <si>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</si>
  <si>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</si>
  <si>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</si>
  <si>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</si>
  <si>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</si>
  <si>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</si>
  <si>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</si>
  <si>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</si>
  <si>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</si>
  <si>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</si>
  <si>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</si>
  <si>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</si>
  <si>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</si>
  <si>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</si>
  <si>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</si>
  <si>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</si>
  <si>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</si>
  <si>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</si>
  <si>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</si>
  <si>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</si>
  <si>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</si>
  <si>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</si>
  <si>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</si>
  <si>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</si>
  <si>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</si>
  <si>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</si>
  <si>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</si>
  <si>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</si>
  <si>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</si>
  <si>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</si>
  <si>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</si>
  <si>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</si>
  <si>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</si>
  <si>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</si>
  <si>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</si>
  <si>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</si>
  <si>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</si>
  <si>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</si>
  <si>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</si>
  <si>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</si>
  <si>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</si>
  <si>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</si>
  <si>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</si>
  <si>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</si>
  <si>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</si>
  <si>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</si>
  <si>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</si>
  <si>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</si>
  <si>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</si>
  <si>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</si>
  <si>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</si>
  <si>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</si>
  <si>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</si>
  <si>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</si>
  <si>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</si>
  <si>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</si>
  <si>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</si>
  <si>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</si>
  <si>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</si>
  <si>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</si>
  <si>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</si>
  <si>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</si>
  <si>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</si>
  <si>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</si>
  <si>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</si>
  <si>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</si>
  <si>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</si>
  <si>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</si>
  <si>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</si>
  <si>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</si>
  <si>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</si>
  <si>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</si>
  <si>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</si>
  <si>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</si>
  <si>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</si>
  <si>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</si>
  <si>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</si>
  <si>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</si>
  <si>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</si>
  <si>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</si>
  <si>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</si>
  <si>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</si>
  <si>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</si>
  <si>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</si>
  <si>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</si>
  <si>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</si>
  <si>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</si>
  <si>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</si>
  <si>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</si>
  <si>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</si>
  <si>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</si>
  <si>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</si>
  <si>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</si>
  <si>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</si>
  <si>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</si>
  <si>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</si>
  <si>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</si>
  <si>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</si>
  <si>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</si>
  <si>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</si>
  <si>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</si>
  <si>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</si>
  <si>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</si>
  <si>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</si>
  <si>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</si>
  <si>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</si>
  <si>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</si>
  <si>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</si>
  <si>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</si>
  <si>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</si>
  <si>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</si>
  <si>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</si>
  <si>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</si>
  <si>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</si>
  <si>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</si>
  <si>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</si>
  <si>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</si>
  <si>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</si>
  <si>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</si>
  <si>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</si>
  <si>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</si>
  <si>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</si>
  <si>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</si>
  <si>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</si>
  <si>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</si>
  <si>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</si>
  <si>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</si>
  <si>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</si>
  <si>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</si>
  <si>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</si>
  <si>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</si>
  <si>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</si>
  <si>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</si>
  <si>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</si>
  <si>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</si>
  <si>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</si>
  <si>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</si>
  <si>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</si>
  <si>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</si>
  <si>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</si>
  <si>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</si>
  <si>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</si>
  <si>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</si>
  <si>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</si>
  <si>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</si>
  <si>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</si>
  <si>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</si>
  <si>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</si>
  <si>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</si>
  <si>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</si>
  <si>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</si>
  <si>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</si>
  <si>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</si>
  <si>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</si>
  <si>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</si>
  <si>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</si>
  <si>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</si>
  <si>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</si>
  <si>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</si>
  <si>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</si>
  <si>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</si>
  <si>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</si>
  <si>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</si>
  <si>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</si>
  <si>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</si>
  <si>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</si>
  <si>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</si>
  <si>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</si>
  <si>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</si>
  <si>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</si>
  <si>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</si>
  <si>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</si>
  <si>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</si>
  <si>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</si>
  <si>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</si>
  <si>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</si>
  <si>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</si>
  <si>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</si>
  <si>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</si>
  <si>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</si>
  <si>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</si>
  <si>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</si>
  <si>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</si>
  <si>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</si>
  <si>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</si>
  <si>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</si>
  <si>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</si>
  <si>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</si>
  <si>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</si>
  <si>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</si>
  <si>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</si>
  <si>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</si>
  <si>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</si>
  <si>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</si>
  <si>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</si>
  <si>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</si>
  <si>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</si>
  <si>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</si>
  <si>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</si>
  <si>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</si>
  <si>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</si>
  <si>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</si>
  <si>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</si>
  <si>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</si>
  <si>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</si>
  <si>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</si>
  <si>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</si>
  <si>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</si>
  <si>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</si>
  <si>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</si>
  <si>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</si>
  <si>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</si>
  <si>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</si>
  <si>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</si>
  <si>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</si>
  <si>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</si>
  <si>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</si>
  <si>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</si>
  <si>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</si>
  <si>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</si>
  <si>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</si>
  <si>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</si>
  <si>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</si>
  <si>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</si>
  <si>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</si>
  <si>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</si>
  <si>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</si>
  <si>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</si>
  <si>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</si>
  <si>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</si>
  <si>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</si>
  <si>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</si>
  <si>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</si>
  <si>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</si>
  <si>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</si>
  <si>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</si>
  <si>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</si>
  <si>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</si>
  <si>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</si>
  <si>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</si>
  <si>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</si>
  <si>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</si>
  <si>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</si>
  <si>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</si>
  <si>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</si>
  <si>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</si>
  <si>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</si>
  <si>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</si>
  <si>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</si>
  <si>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</si>
  <si>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</si>
  <si>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</si>
  <si>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</si>
  <si>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</si>
  <si>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</si>
  <si>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</si>
  <si>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</si>
  <si>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</si>
  <si>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</si>
  <si>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</si>
  <si>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</si>
  <si>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</si>
  <si>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</si>
  <si>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</si>
  <si>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02/15/2013</t>
  </si>
  <si>
    <t>02/15/2023</t>
  </si>
  <si>
    <t>Contoocook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</si>
</sst>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30" zoomScaleNormal="130" workbookViewId="0">
      <pane xSplit="5" ySplit="3" topLeftCell="F643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914</v>
      </c>
      <c r="B2" s="21">
        <v>112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2585140.39</v>
      </c>
      <c r="G9" s="18">
        <v>64641.45</v>
      </c>
      <c r="H9" s="18"/>
      <c r="I9" s="18">
        <v>995653.35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5981.13</v>
      </c>
      <c r="G10" s="18"/>
      <c r="H10" s="18"/>
      <c r="I10" s="18"/>
      <c r="J10" s="67">
        <f>SUM(I440)</f>
        <v>2521676.1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185252.77</v>
      </c>
      <c r="G12" s="18">
        <v>206678.78</v>
      </c>
      <c r="H12" s="18">
        <v>281923.90999999997</v>
      </c>
      <c r="I12" s="18">
        <v>-2197.14</v>
      </c>
      <c r="J12" s="67">
        <f>SUM(I441)</f>
        <v>17262.689999999999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98329.709999999992</v>
      </c>
      <c r="G14" s="18">
        <v>27253.54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29002.81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-332038.5</v>
      </c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2571668.31</v>
      </c>
      <c r="G19" s="41">
        <f>SUM(G9:G18)</f>
        <v>298573.76999999996</v>
      </c>
      <c r="H19" s="41">
        <f>SUM(H9:H18)</f>
        <v>281923.90999999997</v>
      </c>
      <c r="I19" s="41">
        <f>SUM(I9:I18)</f>
        <v>993456.21</v>
      </c>
      <c r="J19" s="41">
        <f>SUM(J9:J18)</f>
        <v>2538938.79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206526.75</v>
      </c>
      <c r="G22" s="18">
        <v>281854.95</v>
      </c>
      <c r="H22" s="18">
        <v>228961.55</v>
      </c>
      <c r="I22" s="18">
        <v>2852.52</v>
      </c>
      <c r="J22" s="67">
        <f>SUM(I448)</f>
        <v>15605.98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65970.7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16718.82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272497.45</v>
      </c>
      <c r="G32" s="41">
        <f>SUM(G22:G31)</f>
        <v>298573.77</v>
      </c>
      <c r="H32" s="41">
        <f>SUM(H22:H31)</f>
        <v>228961.55</v>
      </c>
      <c r="I32" s="41">
        <f>SUM(I22:I31)</f>
        <v>2852.52</v>
      </c>
      <c r="J32" s="41">
        <f>SUM(J22:J31)</f>
        <v>15605.98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50830.31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425000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52962.37</v>
      </c>
      <c r="I48" s="18">
        <v>990603.7</v>
      </c>
      <c r="J48" s="13">
        <f>SUM(I459)</f>
        <v>2523332.7999999998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972002</v>
      </c>
      <c r="G49" s="18">
        <v>0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851338.55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2299170.8600000003</v>
      </c>
      <c r="G51" s="41">
        <f>SUM(G35:G50)</f>
        <v>0</v>
      </c>
      <c r="H51" s="41">
        <f>SUM(H35:H50)</f>
        <v>52962.37</v>
      </c>
      <c r="I51" s="41">
        <f>SUM(I35:I50)</f>
        <v>990603.7</v>
      </c>
      <c r="J51" s="41">
        <f>SUM(J35:J50)</f>
        <v>2523332.7999999998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2571668.3100000005</v>
      </c>
      <c r="G52" s="41">
        <f>G51+G32</f>
        <v>298573.77</v>
      </c>
      <c r="H52" s="41">
        <f>H51+H32</f>
        <v>281923.92</v>
      </c>
      <c r="I52" s="41">
        <f>I51+I32</f>
        <v>993456.22</v>
      </c>
      <c r="J52" s="41">
        <f>J51+J32</f>
        <v>2538938.7799999998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28423720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28423720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97615.22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30961.35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21151.94</v>
      </c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69242.34</v>
      </c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218970.85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8500.24</v>
      </c>
      <c r="G96" s="18">
        <v>48.64</v>
      </c>
      <c r="H96" s="18"/>
      <c r="I96" s="18">
        <v>46.58</v>
      </c>
      <c r="J96" s="18">
        <v>1924.67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471578.86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>
        <v>76052.22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8500.24</v>
      </c>
      <c r="G111" s="41">
        <f>SUM(G96:G110)</f>
        <v>471627.5</v>
      </c>
      <c r="H111" s="41">
        <f>SUM(H96:H110)</f>
        <v>76052.22</v>
      </c>
      <c r="I111" s="41">
        <f>SUM(I96:I110)</f>
        <v>46.58</v>
      </c>
      <c r="J111" s="41">
        <f>SUM(J96:J110)</f>
        <v>1924.67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28651191.09</v>
      </c>
      <c r="G112" s="41">
        <f>G60+G111</f>
        <v>471627.5</v>
      </c>
      <c r="H112" s="41">
        <f>H60+H79+H94+H111</f>
        <v>76052.22</v>
      </c>
      <c r="I112" s="41">
        <f>I60+I111</f>
        <v>46.58</v>
      </c>
      <c r="J112" s="41">
        <f>J60+J111</f>
        <v>1924.67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7383964.46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4560911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23508.47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11968383.930000002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440790.34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348387.57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8366.69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6166.6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81126.53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803711.2</v>
      </c>
      <c r="G136" s="41">
        <f>SUM(G123:G135)</f>
        <v>81126.53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12772095.130000001</v>
      </c>
      <c r="G140" s="41">
        <f>G121+SUM(G136:G137)</f>
        <v>81126.53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487605.01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72620.81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67991.72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v>8418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350936.42000000004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626373.41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268188.21000000002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268188.21000000002</v>
      </c>
      <c r="G162" s="41">
        <f>SUM(G150:G161)</f>
        <v>350936.42000000004</v>
      </c>
      <c r="H162" s="41">
        <f>SUM(H150:H161)</f>
        <v>1263008.9500000002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268188.21000000002</v>
      </c>
      <c r="G169" s="41">
        <f>G147+G162+SUM(G163:G168)</f>
        <v>350936.42000000004</v>
      </c>
      <c r="H169" s="41">
        <f>H147+H162+SUM(H163:H168)</f>
        <v>1263008.9500000002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>
        <v>1000000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1000000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185284.1</v>
      </c>
      <c r="H179" s="18"/>
      <c r="I179" s="18"/>
      <c r="J179" s="18">
        <v>550000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86202</v>
      </c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86202</v>
      </c>
      <c r="G183" s="41">
        <f>SUM(G179:G182)</f>
        <v>185284.1</v>
      </c>
      <c r="H183" s="41">
        <f>SUM(H179:H182)</f>
        <v>0</v>
      </c>
      <c r="I183" s="41">
        <f>SUM(I179:I182)</f>
        <v>0</v>
      </c>
      <c r="J183" s="41">
        <f>SUM(J179:J182)</f>
        <v>550000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86202</v>
      </c>
      <c r="G192" s="41">
        <f>G183+SUM(G188:G191)</f>
        <v>185284.1</v>
      </c>
      <c r="H192" s="41">
        <f>+H183+SUM(H188:H191)</f>
        <v>0</v>
      </c>
      <c r="I192" s="41">
        <f>I177+I183+SUM(I188:I191)</f>
        <v>1000000</v>
      </c>
      <c r="J192" s="41">
        <f>J183</f>
        <v>550000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41777676.43</v>
      </c>
      <c r="G193" s="47">
        <f>G112+G140+G169+G192</f>
        <v>1088974.55</v>
      </c>
      <c r="H193" s="47">
        <f>H112+H140+H169+H192</f>
        <v>1339061.1700000002</v>
      </c>
      <c r="I193" s="47">
        <f>I112+I140+I169+I192</f>
        <v>1000046.58</v>
      </c>
      <c r="J193" s="47">
        <f>J112+J140+J192</f>
        <v>551924.67000000004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3552373.82</v>
      </c>
      <c r="G197" s="18">
        <v>1619609.06</v>
      </c>
      <c r="H197" s="18">
        <v>79176.460000000006</v>
      </c>
      <c r="I197" s="18">
        <v>122139.58</v>
      </c>
      <c r="J197" s="18">
        <v>31232.21</v>
      </c>
      <c r="K197" s="18">
        <v>2951.16</v>
      </c>
      <c r="L197" s="19">
        <f>SUM(F197:K197)</f>
        <v>5407482.29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1948910.98</v>
      </c>
      <c r="G198" s="18">
        <v>1020838.55</v>
      </c>
      <c r="H198" s="18">
        <v>464553.42</v>
      </c>
      <c r="I198" s="18">
        <v>23263.5</v>
      </c>
      <c r="J198" s="18">
        <v>5712.21</v>
      </c>
      <c r="K198" s="18">
        <v>2292.7399999999998</v>
      </c>
      <c r="L198" s="19">
        <f>SUM(F198:K198)</f>
        <v>3465571.4000000004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>
        <v>69833.52</v>
      </c>
      <c r="H199" s="18"/>
      <c r="I199" s="18"/>
      <c r="J199" s="18"/>
      <c r="K199" s="18"/>
      <c r="L199" s="19">
        <f>SUM(F199:K199)</f>
        <v>69833.52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>
        <v>46555.68</v>
      </c>
      <c r="H200" s="18">
        <v>1320</v>
      </c>
      <c r="I200" s="18">
        <v>1210.54</v>
      </c>
      <c r="J200" s="18"/>
      <c r="K200" s="18"/>
      <c r="L200" s="19">
        <f>SUM(F200:K200)</f>
        <v>49086.22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553772.84</v>
      </c>
      <c r="G202" s="18">
        <v>232774.23</v>
      </c>
      <c r="H202" s="18">
        <v>42714.82</v>
      </c>
      <c r="I202" s="18">
        <v>10672.67</v>
      </c>
      <c r="J202" s="18">
        <v>123023.43</v>
      </c>
      <c r="K202" s="18"/>
      <c r="L202" s="19">
        <f t="shared" ref="L202:L208" si="0">SUM(F202:K202)</f>
        <v>962957.99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280665.28999999998</v>
      </c>
      <c r="G203" s="18">
        <v>107006.6</v>
      </c>
      <c r="H203" s="18">
        <v>126915.27</v>
      </c>
      <c r="I203" s="18">
        <v>103975.72</v>
      </c>
      <c r="J203" s="18">
        <v>4524.34</v>
      </c>
      <c r="K203" s="18"/>
      <c r="L203" s="19">
        <f t="shared" si="0"/>
        <v>623087.22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385623.27</v>
      </c>
      <c r="G204" s="18">
        <v>167072.07</v>
      </c>
      <c r="H204" s="18">
        <v>153202.94</v>
      </c>
      <c r="I204" s="18">
        <v>57257.33</v>
      </c>
      <c r="J204" s="18"/>
      <c r="K204" s="18">
        <v>8052.8</v>
      </c>
      <c r="L204" s="19">
        <f t="shared" si="0"/>
        <v>771208.41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849731.75</v>
      </c>
      <c r="G205" s="18">
        <v>393465.34</v>
      </c>
      <c r="H205" s="18">
        <v>91498.67</v>
      </c>
      <c r="I205" s="18">
        <v>1053.97</v>
      </c>
      <c r="J205" s="18"/>
      <c r="K205" s="18">
        <v>13915.44</v>
      </c>
      <c r="L205" s="19">
        <f t="shared" si="0"/>
        <v>1349665.17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222507.37</v>
      </c>
      <c r="G207" s="18">
        <v>91701.09</v>
      </c>
      <c r="H207" s="18">
        <v>788452.06</v>
      </c>
      <c r="I207" s="18">
        <v>415531.59</v>
      </c>
      <c r="J207" s="18">
        <v>16715.63</v>
      </c>
      <c r="K207" s="18"/>
      <c r="L207" s="19">
        <f t="shared" si="0"/>
        <v>1534907.74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/>
      <c r="I208" s="18">
        <v>834701.18</v>
      </c>
      <c r="J208" s="18"/>
      <c r="K208" s="18"/>
      <c r="L208" s="19">
        <f t="shared" si="0"/>
        <v>834701.18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7793585.3199999994</v>
      </c>
      <c r="G211" s="41">
        <f t="shared" si="1"/>
        <v>3748856.14</v>
      </c>
      <c r="H211" s="41">
        <f t="shared" si="1"/>
        <v>1747833.6400000001</v>
      </c>
      <c r="I211" s="41">
        <f t="shared" si="1"/>
        <v>1569806.08</v>
      </c>
      <c r="J211" s="41">
        <f t="shared" si="1"/>
        <v>181207.81999999998</v>
      </c>
      <c r="K211" s="41">
        <f t="shared" si="1"/>
        <v>27212.14</v>
      </c>
      <c r="L211" s="41">
        <f t="shared" si="1"/>
        <v>15068501.140000002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3344441</v>
      </c>
      <c r="G215" s="18">
        <v>1486122.07</v>
      </c>
      <c r="H215" s="18">
        <v>56141.27</v>
      </c>
      <c r="I215" s="18">
        <v>114998.5</v>
      </c>
      <c r="J215" s="18">
        <v>60909.03</v>
      </c>
      <c r="K215" s="18">
        <v>2883.83</v>
      </c>
      <c r="L215" s="19">
        <f>SUM(F215:K215)</f>
        <v>5065495.7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1270411.6599999999</v>
      </c>
      <c r="G216" s="18">
        <v>815477.12</v>
      </c>
      <c r="H216" s="18">
        <v>376397.37</v>
      </c>
      <c r="I216" s="18">
        <v>12780.91</v>
      </c>
      <c r="J216" s="18">
        <v>4719.2700000000004</v>
      </c>
      <c r="K216" s="18">
        <v>1858.98</v>
      </c>
      <c r="L216" s="19">
        <f>SUM(F216:K216)</f>
        <v>2481645.31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217120</v>
      </c>
      <c r="G217" s="18">
        <v>105924.95</v>
      </c>
      <c r="H217" s="18">
        <v>4694.7700000000004</v>
      </c>
      <c r="I217" s="18">
        <v>13696.5</v>
      </c>
      <c r="J217" s="18">
        <v>410.88</v>
      </c>
      <c r="K217" s="18"/>
      <c r="L217" s="19">
        <f>SUM(F217:K217)</f>
        <v>341847.10000000003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101129.89</v>
      </c>
      <c r="G218" s="18">
        <v>37747.85</v>
      </c>
      <c r="H218" s="18">
        <v>15864.61</v>
      </c>
      <c r="I218" s="18">
        <v>15007.54</v>
      </c>
      <c r="J218" s="18">
        <v>3314.25</v>
      </c>
      <c r="K218" s="18">
        <v>6088.8</v>
      </c>
      <c r="L218" s="19">
        <f>SUM(F218:K218)</f>
        <v>179152.93999999997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262735.78000000003</v>
      </c>
      <c r="G220" s="18">
        <v>189218.61</v>
      </c>
      <c r="H220" s="18">
        <v>34361.39</v>
      </c>
      <c r="I220" s="18">
        <v>9515.2000000000007</v>
      </c>
      <c r="J220" s="18">
        <v>100275.73</v>
      </c>
      <c r="K220" s="18"/>
      <c r="L220" s="19">
        <f t="shared" ref="L220:L226" si="2">SUM(F220:K220)</f>
        <v>596106.71000000008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195602.77</v>
      </c>
      <c r="G221" s="18">
        <v>68360.02</v>
      </c>
      <c r="H221" s="18">
        <v>95978.02</v>
      </c>
      <c r="I221" s="18">
        <v>77964.02</v>
      </c>
      <c r="J221" s="18">
        <v>17726.240000000002</v>
      </c>
      <c r="K221" s="18"/>
      <c r="L221" s="19">
        <f t="shared" si="2"/>
        <v>455631.07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312667.52000000002</v>
      </c>
      <c r="G222" s="18">
        <v>135463.84</v>
      </c>
      <c r="H222" s="18">
        <v>124218.6</v>
      </c>
      <c r="I222" s="18">
        <v>46424.87</v>
      </c>
      <c r="J222" s="18">
        <v>6529.3</v>
      </c>
      <c r="K222" s="18"/>
      <c r="L222" s="19">
        <f t="shared" si="2"/>
        <v>625304.13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622592.68000000005</v>
      </c>
      <c r="G223" s="18">
        <v>90113.279999999999</v>
      </c>
      <c r="H223" s="18">
        <v>46595.360000000001</v>
      </c>
      <c r="I223" s="18">
        <v>3489.52</v>
      </c>
      <c r="J223" s="18">
        <v>224.05</v>
      </c>
      <c r="K223" s="18">
        <v>14799.47</v>
      </c>
      <c r="L223" s="19">
        <f t="shared" si="2"/>
        <v>777814.3600000001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228707.82</v>
      </c>
      <c r="G225" s="18">
        <v>91869.119999999995</v>
      </c>
      <c r="H225" s="18">
        <v>485565.62</v>
      </c>
      <c r="I225" s="18">
        <v>300563.09000000003</v>
      </c>
      <c r="J225" s="18">
        <v>17723.990000000002</v>
      </c>
      <c r="K225" s="18"/>
      <c r="L225" s="19">
        <f t="shared" si="2"/>
        <v>1124429.6400000001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712291.76</v>
      </c>
      <c r="I226" s="18"/>
      <c r="J226" s="18"/>
      <c r="K226" s="18"/>
      <c r="L226" s="19">
        <f t="shared" si="2"/>
        <v>712291.76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6555409.1199999992</v>
      </c>
      <c r="G229" s="41">
        <f>SUM(G215:G228)</f>
        <v>3020296.86</v>
      </c>
      <c r="H229" s="41">
        <f>SUM(H215:H228)</f>
        <v>1952108.77</v>
      </c>
      <c r="I229" s="41">
        <f>SUM(I215:I228)</f>
        <v>594440.15000000014</v>
      </c>
      <c r="J229" s="41">
        <f>SUM(J215:J228)</f>
        <v>211832.73999999996</v>
      </c>
      <c r="K229" s="41">
        <f t="shared" si="3"/>
        <v>25631.08</v>
      </c>
      <c r="L229" s="41">
        <f t="shared" si="3"/>
        <v>12359718.720000001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2776817.14</v>
      </c>
      <c r="G233" s="18">
        <v>1286230.3799999999</v>
      </c>
      <c r="H233" s="18">
        <v>45709.279999999999</v>
      </c>
      <c r="I233" s="18">
        <v>92381.96</v>
      </c>
      <c r="J233" s="18">
        <v>48018.46</v>
      </c>
      <c r="K233" s="18">
        <v>6563.12</v>
      </c>
      <c r="L233" s="19">
        <f>SUM(F233:K233)</f>
        <v>4255720.34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1815757.93</v>
      </c>
      <c r="G234" s="18">
        <v>967272.44</v>
      </c>
      <c r="H234" s="18">
        <v>417517.08</v>
      </c>
      <c r="I234" s="18">
        <v>17889.12</v>
      </c>
      <c r="J234" s="18">
        <v>4834.84</v>
      </c>
      <c r="K234" s="18">
        <v>2044.87</v>
      </c>
      <c r="L234" s="19">
        <f>SUM(F234:K234)</f>
        <v>3225316.2800000003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349686.7</v>
      </c>
      <c r="G235" s="18">
        <v>131375.38</v>
      </c>
      <c r="H235" s="18">
        <v>3714.23</v>
      </c>
      <c r="I235" s="18">
        <v>23445.89</v>
      </c>
      <c r="J235" s="18">
        <v>7163.14</v>
      </c>
      <c r="K235" s="18"/>
      <c r="L235" s="19">
        <f>SUM(F235:K235)</f>
        <v>515385.34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376305.37</v>
      </c>
      <c r="G236" s="18">
        <v>74388.03</v>
      </c>
      <c r="H236" s="18">
        <v>98960.14</v>
      </c>
      <c r="I236" s="18">
        <v>14060.34</v>
      </c>
      <c r="J236" s="18">
        <v>33557.57</v>
      </c>
      <c r="K236" s="18">
        <v>49000.97</v>
      </c>
      <c r="L236" s="19">
        <f>SUM(F236:K236)</f>
        <v>646272.41999999993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596713.79</v>
      </c>
      <c r="G238" s="18">
        <v>290823.94</v>
      </c>
      <c r="H238" s="18">
        <v>48460.9</v>
      </c>
      <c r="I238" s="18">
        <v>12682.09</v>
      </c>
      <c r="J238" s="18">
        <v>109923.59</v>
      </c>
      <c r="K238" s="18">
        <v>7421.48</v>
      </c>
      <c r="L238" s="19">
        <f t="shared" ref="L238:L244" si="4">SUM(F238:K238)</f>
        <v>1066025.79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138198.84</v>
      </c>
      <c r="G239" s="18">
        <v>62283.95</v>
      </c>
      <c r="H239" s="18">
        <v>108959.4</v>
      </c>
      <c r="I239" s="18">
        <v>105221.85</v>
      </c>
      <c r="J239" s="18">
        <v>3723.44</v>
      </c>
      <c r="K239" s="18"/>
      <c r="L239" s="19">
        <f t="shared" si="4"/>
        <v>418387.47999999992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343934.27</v>
      </c>
      <c r="G240" s="18">
        <v>149010.23000000001</v>
      </c>
      <c r="H240" s="18">
        <v>136640.46</v>
      </c>
      <c r="I240" s="18">
        <v>51067.35</v>
      </c>
      <c r="J240" s="18"/>
      <c r="K240" s="18">
        <v>7182.23</v>
      </c>
      <c r="L240" s="19">
        <f t="shared" si="4"/>
        <v>687834.53999999992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729861.7</v>
      </c>
      <c r="G241" s="18">
        <v>282757.40999999997</v>
      </c>
      <c r="H241" s="18">
        <v>72113.509999999995</v>
      </c>
      <c r="I241" s="18">
        <v>862.68</v>
      </c>
      <c r="J241" s="18"/>
      <c r="K241" s="18">
        <v>34382.07</v>
      </c>
      <c r="L241" s="19">
        <f t="shared" si="4"/>
        <v>1119977.3699999999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241658.21</v>
      </c>
      <c r="G243" s="18">
        <v>121355.72</v>
      </c>
      <c r="H243" s="18">
        <v>613595.19999999995</v>
      </c>
      <c r="I243" s="18">
        <v>355031.54</v>
      </c>
      <c r="J243" s="18">
        <v>14908.53</v>
      </c>
      <c r="K243" s="18"/>
      <c r="L243" s="19">
        <f t="shared" si="4"/>
        <v>1346549.2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854329.77</v>
      </c>
      <c r="I244" s="18"/>
      <c r="J244" s="18"/>
      <c r="K244" s="18"/>
      <c r="L244" s="19">
        <f t="shared" si="4"/>
        <v>854329.77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>
        <v>5695.71</v>
      </c>
      <c r="I245" s="18"/>
      <c r="J245" s="18"/>
      <c r="K245" s="18"/>
      <c r="L245" s="19">
        <f>SUM(F245:K245)</f>
        <v>5695.71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7368933.9500000011</v>
      </c>
      <c r="G247" s="41">
        <f t="shared" si="5"/>
        <v>3365497.48</v>
      </c>
      <c r="H247" s="41">
        <f t="shared" si="5"/>
        <v>2405695.6799999997</v>
      </c>
      <c r="I247" s="41">
        <f t="shared" si="5"/>
        <v>672642.82</v>
      </c>
      <c r="J247" s="41">
        <f t="shared" si="5"/>
        <v>222129.57</v>
      </c>
      <c r="K247" s="41">
        <f t="shared" si="5"/>
        <v>106594.73999999999</v>
      </c>
      <c r="L247" s="41">
        <f t="shared" si="5"/>
        <v>14141494.239999996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21717928.390000001</v>
      </c>
      <c r="G257" s="41">
        <f t="shared" si="8"/>
        <v>10134650.48</v>
      </c>
      <c r="H257" s="41">
        <f t="shared" si="8"/>
        <v>6105638.0899999999</v>
      </c>
      <c r="I257" s="41">
        <f t="shared" si="8"/>
        <v>2836889.0500000003</v>
      </c>
      <c r="J257" s="41">
        <f t="shared" si="8"/>
        <v>615170.12999999989</v>
      </c>
      <c r="K257" s="41">
        <f t="shared" si="8"/>
        <v>159437.96</v>
      </c>
      <c r="L257" s="41">
        <f t="shared" si="8"/>
        <v>41569714.100000001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360000</v>
      </c>
      <c r="L260" s="19">
        <f>SUM(F260:K260)</f>
        <v>360000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87435</v>
      </c>
      <c r="L261" s="19">
        <f>SUM(F261:K261)</f>
        <v>87435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185284.1</v>
      </c>
      <c r="L263" s="19">
        <f>SUM(F263:K263)</f>
        <v>185284.1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550000</v>
      </c>
      <c r="L266" s="19">
        <f t="shared" si="9"/>
        <v>550000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1182719.1000000001</v>
      </c>
      <c r="L270" s="41">
        <f t="shared" si="9"/>
        <v>1182719.1000000001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21717928.390000001</v>
      </c>
      <c r="G271" s="42">
        <f t="shared" si="11"/>
        <v>10134650.48</v>
      </c>
      <c r="H271" s="42">
        <f t="shared" si="11"/>
        <v>6105638.0899999999</v>
      </c>
      <c r="I271" s="42">
        <f t="shared" si="11"/>
        <v>2836889.0500000003</v>
      </c>
      <c r="J271" s="42">
        <f t="shared" si="11"/>
        <v>615170.12999999989</v>
      </c>
      <c r="K271" s="42">
        <f t="shared" si="11"/>
        <v>1342157.06</v>
      </c>
      <c r="L271" s="42">
        <f t="shared" si="11"/>
        <v>42752433.200000003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247060.25</v>
      </c>
      <c r="G276" s="18">
        <v>133024.56</v>
      </c>
      <c r="H276" s="18">
        <v>2825</v>
      </c>
      <c r="I276" s="18">
        <v>5192.03</v>
      </c>
      <c r="J276" s="18"/>
      <c r="K276" s="18">
        <v>430.38</v>
      </c>
      <c r="L276" s="19">
        <f>SUM(F276:K276)</f>
        <v>388532.22000000003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225972.76</v>
      </c>
      <c r="G277" s="18">
        <v>110388.17</v>
      </c>
      <c r="H277" s="18">
        <v>286762.88</v>
      </c>
      <c r="I277" s="18">
        <v>173.65</v>
      </c>
      <c r="J277" s="18"/>
      <c r="K277" s="18">
        <v>664.69</v>
      </c>
      <c r="L277" s="19">
        <f>SUM(F277:K277)</f>
        <v>623962.15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1061.28</v>
      </c>
      <c r="G281" s="18">
        <v>259.2</v>
      </c>
      <c r="H281" s="18">
        <v>30320.959999999999</v>
      </c>
      <c r="I281" s="18">
        <v>5297.07</v>
      </c>
      <c r="J281" s="18">
        <v>624.19000000000005</v>
      </c>
      <c r="K281" s="18"/>
      <c r="L281" s="19">
        <f t="shared" ref="L281:L287" si="12">SUM(F281:K281)</f>
        <v>37562.699999999997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v>53646.15</v>
      </c>
      <c r="I282" s="18">
        <v>2109.25</v>
      </c>
      <c r="J282" s="18">
        <v>3075.95</v>
      </c>
      <c r="K282" s="18"/>
      <c r="L282" s="19">
        <f t="shared" si="12"/>
        <v>58831.35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>
        <v>2285.84</v>
      </c>
      <c r="I283" s="18"/>
      <c r="J283" s="18"/>
      <c r="K283" s="18"/>
      <c r="L283" s="19">
        <f t="shared" si="12"/>
        <v>2285.84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29063.88</v>
      </c>
      <c r="G284" s="18">
        <v>16891.11</v>
      </c>
      <c r="H284" s="18">
        <v>5808.61</v>
      </c>
      <c r="I284" s="18"/>
      <c r="J284" s="18"/>
      <c r="K284" s="18"/>
      <c r="L284" s="19">
        <f t="shared" si="12"/>
        <v>51763.600000000006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14896.04</v>
      </c>
      <c r="I287" s="18"/>
      <c r="J287" s="18"/>
      <c r="K287" s="18"/>
      <c r="L287" s="19">
        <f t="shared" si="12"/>
        <v>14896.04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503158.17000000004</v>
      </c>
      <c r="G290" s="42">
        <f t="shared" si="13"/>
        <v>260563.03999999998</v>
      </c>
      <c r="H290" s="42">
        <f t="shared" si="13"/>
        <v>396545.48000000004</v>
      </c>
      <c r="I290" s="42">
        <f t="shared" si="13"/>
        <v>12772</v>
      </c>
      <c r="J290" s="42">
        <f t="shared" si="13"/>
        <v>3700.14</v>
      </c>
      <c r="K290" s="42">
        <f t="shared" si="13"/>
        <v>1095.0700000000002</v>
      </c>
      <c r="L290" s="41">
        <f t="shared" si="13"/>
        <v>1177833.9000000004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>
        <v>1800</v>
      </c>
      <c r="H314" s="18">
        <v>450.18</v>
      </c>
      <c r="I314" s="18">
        <v>1417.42</v>
      </c>
      <c r="J314" s="18">
        <v>23089.89</v>
      </c>
      <c r="K314" s="18">
        <v>1211.4100000000001</v>
      </c>
      <c r="L314" s="19">
        <f>SUM(F314:K314)</f>
        <v>27968.899999999998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2404.7199999999998</v>
      </c>
      <c r="G316" s="18">
        <v>182.35</v>
      </c>
      <c r="H316" s="18">
        <v>18583.580000000002</v>
      </c>
      <c r="I316" s="18">
        <v>6367.5</v>
      </c>
      <c r="J316" s="18">
        <v>36200.15</v>
      </c>
      <c r="K316" s="18">
        <v>380</v>
      </c>
      <c r="L316" s="19">
        <f>SUM(F316:K316)</f>
        <v>64118.3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3800</v>
      </c>
      <c r="G322" s="18">
        <v>950.38</v>
      </c>
      <c r="H322" s="18"/>
      <c r="I322" s="18"/>
      <c r="J322" s="18"/>
      <c r="K322" s="18">
        <v>2662.03</v>
      </c>
      <c r="L322" s="19">
        <f t="shared" si="16"/>
        <v>7412.41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6204.7199999999993</v>
      </c>
      <c r="G328" s="42">
        <f t="shared" si="17"/>
        <v>2932.73</v>
      </c>
      <c r="H328" s="42">
        <f t="shared" si="17"/>
        <v>19033.760000000002</v>
      </c>
      <c r="I328" s="42">
        <f t="shared" si="17"/>
        <v>7784.92</v>
      </c>
      <c r="J328" s="42">
        <f t="shared" si="17"/>
        <v>59290.04</v>
      </c>
      <c r="K328" s="42">
        <f t="shared" si="17"/>
        <v>4253.4400000000005</v>
      </c>
      <c r="L328" s="41">
        <f t="shared" si="17"/>
        <v>99499.61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>
        <v>8765.2900000000009</v>
      </c>
      <c r="I333" s="18"/>
      <c r="J333" s="18"/>
      <c r="K333" s="18"/>
      <c r="L333" s="19">
        <f t="shared" si="18"/>
        <v>8765.2900000000009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8765.2900000000009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8765.2900000000009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509362.89</v>
      </c>
      <c r="G338" s="41">
        <f t="shared" si="20"/>
        <v>263495.76999999996</v>
      </c>
      <c r="H338" s="41">
        <f t="shared" si="20"/>
        <v>424344.53</v>
      </c>
      <c r="I338" s="41">
        <f t="shared" si="20"/>
        <v>20556.919999999998</v>
      </c>
      <c r="J338" s="41">
        <f t="shared" si="20"/>
        <v>62990.18</v>
      </c>
      <c r="K338" s="41">
        <f t="shared" si="20"/>
        <v>5348.51</v>
      </c>
      <c r="L338" s="41">
        <f t="shared" si="20"/>
        <v>1286098.8000000005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509362.89</v>
      </c>
      <c r="G352" s="41">
        <f>G338</f>
        <v>263495.76999999996</v>
      </c>
      <c r="H352" s="41">
        <f>H338</f>
        <v>424344.53</v>
      </c>
      <c r="I352" s="41">
        <f>I338</f>
        <v>20556.919999999998</v>
      </c>
      <c r="J352" s="41">
        <f>J338</f>
        <v>62990.18</v>
      </c>
      <c r="K352" s="47">
        <f>K338+K351</f>
        <v>5348.51</v>
      </c>
      <c r="L352" s="41">
        <f>L338+L351</f>
        <v>1286098.8000000005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374940.84</v>
      </c>
      <c r="I358" s="18"/>
      <c r="J358" s="18"/>
      <c r="K358" s="18"/>
      <c r="L358" s="13">
        <f>SUM(F358:K358)</f>
        <v>374940.84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>
        <v>304006.09000000003</v>
      </c>
      <c r="I359" s="18"/>
      <c r="J359" s="18"/>
      <c r="K359" s="18"/>
      <c r="L359" s="19">
        <f>SUM(F359:K359)</f>
        <v>304006.09000000003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v>334406.5</v>
      </c>
      <c r="I360" s="18"/>
      <c r="J360" s="18"/>
      <c r="K360" s="18"/>
      <c r="L360" s="19">
        <f>SUM(F360:K360)</f>
        <v>334406.5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1013353.43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1013353.43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>
        <v>1757.69</v>
      </c>
      <c r="G379" s="18">
        <v>439.45</v>
      </c>
      <c r="H379" s="18">
        <v>3796.51</v>
      </c>
      <c r="I379" s="18">
        <v>596.72</v>
      </c>
      <c r="J379" s="18">
        <v>2852.52</v>
      </c>
      <c r="K379" s="18"/>
      <c r="L379" s="13">
        <f t="shared" si="23"/>
        <v>9442.89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1757.69</v>
      </c>
      <c r="G382" s="139">
        <f t="shared" ref="G382:L382" si="24">SUM(G374:G381)</f>
        <v>439.45</v>
      </c>
      <c r="H382" s="139">
        <f t="shared" si="24"/>
        <v>3796.51</v>
      </c>
      <c r="I382" s="41">
        <f t="shared" si="24"/>
        <v>596.72</v>
      </c>
      <c r="J382" s="47">
        <f t="shared" si="24"/>
        <v>2852.52</v>
      </c>
      <c r="K382" s="47">
        <f t="shared" si="24"/>
        <v>0</v>
      </c>
      <c r="L382" s="47">
        <f t="shared" si="24"/>
        <v>9442.89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>
        <v>75000</v>
      </c>
      <c r="H391" s="18"/>
      <c r="I391" s="18"/>
      <c r="J391" s="24" t="s">
        <v>286</v>
      </c>
      <c r="K391" s="24" t="s">
        <v>286</v>
      </c>
      <c r="L391" s="56">
        <f t="shared" si="25"/>
        <v>75000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75000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75000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250000</v>
      </c>
      <c r="H396" s="18"/>
      <c r="I396" s="18"/>
      <c r="J396" s="24" t="s">
        <v>286</v>
      </c>
      <c r="K396" s="24" t="s">
        <v>286</v>
      </c>
      <c r="L396" s="56">
        <f t="shared" si="26"/>
        <v>250000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v>225000</v>
      </c>
      <c r="H400" s="18"/>
      <c r="I400" s="18"/>
      <c r="J400" s="24" t="s">
        <v>286</v>
      </c>
      <c r="K400" s="24" t="s">
        <v>286</v>
      </c>
      <c r="L400" s="56">
        <f t="shared" si="26"/>
        <v>225000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475000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475000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>
        <v>1924.67</v>
      </c>
      <c r="I405" s="18"/>
      <c r="J405" s="24" t="s">
        <v>286</v>
      </c>
      <c r="K405" s="24" t="s">
        <v>286</v>
      </c>
      <c r="L405" s="56">
        <f>SUM(F405:K405)</f>
        <v>1924.67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1924.67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1924.67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550000</v>
      </c>
      <c r="H408" s="47">
        <f>H393+H401+H407</f>
        <v>1924.67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551924.67000000004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2521676.1</v>
      </c>
      <c r="G440" s="18"/>
      <c r="H440" s="18"/>
      <c r="I440" s="56">
        <f t="shared" si="33"/>
        <v>2521676.1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17262.689999999999</v>
      </c>
      <c r="G441" s="18"/>
      <c r="H441" s="18"/>
      <c r="I441" s="56">
        <f t="shared" si="33"/>
        <v>17262.689999999999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2538938.79</v>
      </c>
      <c r="G446" s="13">
        <f>SUM(G439:G445)</f>
        <v>0</v>
      </c>
      <c r="H446" s="13">
        <f>SUM(H439:H445)</f>
        <v>0</v>
      </c>
      <c r="I446" s="13">
        <f>SUM(I439:I445)</f>
        <v>2538938.79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>
        <v>15605.98</v>
      </c>
      <c r="G448" s="18"/>
      <c r="H448" s="18"/>
      <c r="I448" s="56">
        <f>SUM(F448:H448)</f>
        <v>15605.98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15605.98</v>
      </c>
      <c r="G452" s="72">
        <f>SUM(G448:G451)</f>
        <v>0</v>
      </c>
      <c r="H452" s="72">
        <f>SUM(H448:H451)</f>
        <v>0</v>
      </c>
      <c r="I452" s="72">
        <f>SUM(I448:I451)</f>
        <v>15605.98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2523332.7999999998</v>
      </c>
      <c r="G459" s="18"/>
      <c r="H459" s="18"/>
      <c r="I459" s="56">
        <f t="shared" si="34"/>
        <v>2523332.7999999998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2523332.7999999998</v>
      </c>
      <c r="G460" s="83">
        <f>SUM(G454:G459)</f>
        <v>0</v>
      </c>
      <c r="H460" s="83">
        <f>SUM(H454:H459)</f>
        <v>0</v>
      </c>
      <c r="I460" s="83">
        <f>SUM(I454:I459)</f>
        <v>2523332.7999999998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2538938.7799999998</v>
      </c>
      <c r="G461" s="42">
        <f>G452+G460</f>
        <v>0</v>
      </c>
      <c r="H461" s="42">
        <f>H452+H460</f>
        <v>0</v>
      </c>
      <c r="I461" s="42">
        <f>I452+I460</f>
        <v>2538938.7799999998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3273927.5</v>
      </c>
      <c r="G465" s="18">
        <v>-75621.119999999995</v>
      </c>
      <c r="H465" s="18">
        <v>0</v>
      </c>
      <c r="I465" s="18">
        <v>0</v>
      </c>
      <c r="J465" s="18">
        <v>1971408.14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41777676.43</v>
      </c>
      <c r="G468" s="18">
        <v>1088974.55</v>
      </c>
      <c r="H468" s="18">
        <v>1339061.17</v>
      </c>
      <c r="I468" s="18">
        <v>1000046.58</v>
      </c>
      <c r="J468" s="18">
        <v>551924.67000000004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0.13</v>
      </c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41777676.560000002</v>
      </c>
      <c r="G470" s="53">
        <f>SUM(G468:G469)</f>
        <v>1088974.55</v>
      </c>
      <c r="H470" s="53">
        <f>SUM(H468:H469)</f>
        <v>1339061.17</v>
      </c>
      <c r="I470" s="53">
        <f>SUM(I468:I469)</f>
        <v>1000046.58</v>
      </c>
      <c r="J470" s="53">
        <f>SUM(J468:J469)</f>
        <v>551924.67000000004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42752433.200000003</v>
      </c>
      <c r="G472" s="18">
        <v>1013353.43</v>
      </c>
      <c r="H472" s="18">
        <v>1286098.8</v>
      </c>
      <c r="I472" s="18">
        <v>9442.89</v>
      </c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42752433.200000003</v>
      </c>
      <c r="G474" s="53">
        <f>SUM(G472:G473)</f>
        <v>1013353.43</v>
      </c>
      <c r="H474" s="53">
        <f>SUM(H472:H473)</f>
        <v>1286098.8</v>
      </c>
      <c r="I474" s="53">
        <f>SUM(I472:I473)</f>
        <v>9442.89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2299170.8599999994</v>
      </c>
      <c r="G476" s="53">
        <f>(G465+G470)- G474</f>
        <v>0</v>
      </c>
      <c r="H476" s="53">
        <f>(H465+H470)- H474</f>
        <v>52962.369999999879</v>
      </c>
      <c r="I476" s="53">
        <f>(I465+I470)- I474</f>
        <v>990603.69</v>
      </c>
      <c r="J476" s="53">
        <f>(J465+J470)- J474</f>
        <v>2523332.81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3750000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1.69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2135000</v>
      </c>
      <c r="G495" s="18"/>
      <c r="H495" s="18"/>
      <c r="I495" s="18"/>
      <c r="J495" s="18"/>
      <c r="K495" s="53">
        <f>SUM(F495:J495)</f>
        <v>2135000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360000</v>
      </c>
      <c r="G497" s="18"/>
      <c r="H497" s="18"/>
      <c r="I497" s="18"/>
      <c r="J497" s="18"/>
      <c r="K497" s="53">
        <f t="shared" si="35"/>
        <v>360000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1175000</v>
      </c>
      <c r="G498" s="204"/>
      <c r="H498" s="204"/>
      <c r="I498" s="204"/>
      <c r="J498" s="204"/>
      <c r="K498" s="205">
        <f t="shared" si="35"/>
        <v>1175000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1175000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1175000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360000</v>
      </c>
      <c r="G501" s="204"/>
      <c r="H501" s="204"/>
      <c r="I501" s="204"/>
      <c r="J501" s="204"/>
      <c r="K501" s="205">
        <f t="shared" si="35"/>
        <v>360000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360000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360000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1948910.98</v>
      </c>
      <c r="G521" s="18">
        <v>1020838.55</v>
      </c>
      <c r="H521" s="18">
        <v>464553.42</v>
      </c>
      <c r="I521" s="18">
        <v>23263.5</v>
      </c>
      <c r="J521" s="18">
        <v>8712.2099999999991</v>
      </c>
      <c r="K521" s="18">
        <v>2292.7399999999998</v>
      </c>
      <c r="L521" s="88">
        <f>SUM(F521:K521)</f>
        <v>3468571.4000000004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1270411.6599999999</v>
      </c>
      <c r="G522" s="18">
        <v>815477.12</v>
      </c>
      <c r="H522" s="18">
        <v>376397.37</v>
      </c>
      <c r="I522" s="18">
        <v>12780.91</v>
      </c>
      <c r="J522" s="18">
        <v>4719.2700000000004</v>
      </c>
      <c r="K522" s="18">
        <v>1858.98</v>
      </c>
      <c r="L522" s="88">
        <f>SUM(F522:K522)</f>
        <v>2481645.31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1815757.93</v>
      </c>
      <c r="G523" s="18">
        <v>967272.44</v>
      </c>
      <c r="H523" s="18">
        <v>417517.08</v>
      </c>
      <c r="I523" s="18">
        <v>17889.12</v>
      </c>
      <c r="J523" s="18">
        <v>4834.84</v>
      </c>
      <c r="K523" s="18">
        <v>2044.87</v>
      </c>
      <c r="L523" s="88">
        <f>SUM(F523:K523)</f>
        <v>3225316.2800000003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5035080.5699999994</v>
      </c>
      <c r="G524" s="108">
        <f t="shared" ref="G524:L524" si="36">SUM(G521:G523)</f>
        <v>2803588.11</v>
      </c>
      <c r="H524" s="108">
        <f t="shared" si="36"/>
        <v>1258467.8700000001</v>
      </c>
      <c r="I524" s="108">
        <f t="shared" si="36"/>
        <v>53933.53</v>
      </c>
      <c r="J524" s="108">
        <f t="shared" si="36"/>
        <v>18266.32</v>
      </c>
      <c r="K524" s="108">
        <f t="shared" si="36"/>
        <v>6196.5899999999992</v>
      </c>
      <c r="L524" s="89">
        <f t="shared" si="36"/>
        <v>9175532.9900000021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188463.94</v>
      </c>
      <c r="G526" s="18">
        <v>97493.15</v>
      </c>
      <c r="H526" s="18">
        <v>153764.23000000001</v>
      </c>
      <c r="I526" s="18">
        <v>7605.72</v>
      </c>
      <c r="J526" s="18">
        <v>14763</v>
      </c>
      <c r="K526" s="18">
        <v>1978.76</v>
      </c>
      <c r="L526" s="88">
        <f>SUM(F526:K526)</f>
        <v>464068.79999999993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152808.6</v>
      </c>
      <c r="G527" s="18">
        <v>79048.5</v>
      </c>
      <c r="H527" s="18">
        <v>124673.7</v>
      </c>
      <c r="I527" s="18">
        <v>6166.8</v>
      </c>
      <c r="J527" s="18">
        <v>11970</v>
      </c>
      <c r="K527" s="18">
        <v>1604.4</v>
      </c>
      <c r="L527" s="88">
        <f>SUM(F527:K527)</f>
        <v>376272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168089.46</v>
      </c>
      <c r="G528" s="18">
        <v>86953.35</v>
      </c>
      <c r="H528" s="18">
        <v>137141.07</v>
      </c>
      <c r="I528" s="18">
        <v>6783.48</v>
      </c>
      <c r="J528" s="18">
        <v>13167</v>
      </c>
      <c r="K528" s="18">
        <v>1764.84</v>
      </c>
      <c r="L528" s="88">
        <f>SUM(F528:K528)</f>
        <v>413899.2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509362</v>
      </c>
      <c r="G529" s="89">
        <f t="shared" ref="G529:L529" si="37">SUM(G526:G528)</f>
        <v>263495</v>
      </c>
      <c r="H529" s="89">
        <f t="shared" si="37"/>
        <v>415579</v>
      </c>
      <c r="I529" s="89">
        <f t="shared" si="37"/>
        <v>20556</v>
      </c>
      <c r="J529" s="89">
        <f t="shared" si="37"/>
        <v>39900</v>
      </c>
      <c r="K529" s="89">
        <f t="shared" si="37"/>
        <v>5348</v>
      </c>
      <c r="L529" s="89">
        <f t="shared" si="37"/>
        <v>1254240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80146.28</v>
      </c>
      <c r="G531" s="18">
        <v>39277.67</v>
      </c>
      <c r="H531" s="18"/>
      <c r="I531" s="18"/>
      <c r="J531" s="18"/>
      <c r="K531" s="18"/>
      <c r="L531" s="88">
        <f>SUM(F531:K531)</f>
        <v>119423.95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69983.47</v>
      </c>
      <c r="G532" s="18">
        <v>31983.3</v>
      </c>
      <c r="H532" s="18"/>
      <c r="I532" s="18"/>
      <c r="J532" s="18"/>
      <c r="K532" s="18"/>
      <c r="L532" s="88">
        <f>SUM(F532:K532)</f>
        <v>101966.77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71481.83</v>
      </c>
      <c r="G533" s="18">
        <v>35350.61</v>
      </c>
      <c r="H533" s="18"/>
      <c r="I533" s="18"/>
      <c r="J533" s="18"/>
      <c r="K533" s="18"/>
      <c r="L533" s="88">
        <f>SUM(F533:K533)</f>
        <v>106832.44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221611.58000000002</v>
      </c>
      <c r="G534" s="89">
        <f t="shared" ref="G534:L534" si="38">SUM(G531:G533)</f>
        <v>106611.58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328223.16000000003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11427</v>
      </c>
      <c r="I536" s="18"/>
      <c r="J536" s="18"/>
      <c r="K536" s="18"/>
      <c r="L536" s="88">
        <f>SUM(F536:K536)</f>
        <v>11427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11427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11427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248604.01</v>
      </c>
      <c r="I541" s="18"/>
      <c r="J541" s="18"/>
      <c r="K541" s="18"/>
      <c r="L541" s="88">
        <f>SUM(F541:K541)</f>
        <v>248604.01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201570.82</v>
      </c>
      <c r="I542" s="18"/>
      <c r="J542" s="18"/>
      <c r="K542" s="18"/>
      <c r="L542" s="88">
        <f>SUM(F542:K542)</f>
        <v>201570.82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221727.9</v>
      </c>
      <c r="I543" s="18"/>
      <c r="J543" s="18"/>
      <c r="K543" s="18"/>
      <c r="L543" s="88">
        <f>SUM(F543:K543)</f>
        <v>221727.9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671902.73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671902.73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5766054.1499999994</v>
      </c>
      <c r="G545" s="89">
        <f t="shared" ref="G545:L545" si="41">G524+G529+G534+G539+G544</f>
        <v>3173694.69</v>
      </c>
      <c r="H545" s="89">
        <f t="shared" si="41"/>
        <v>2357376.6</v>
      </c>
      <c r="I545" s="89">
        <f t="shared" si="41"/>
        <v>74489.53</v>
      </c>
      <c r="J545" s="89">
        <f t="shared" si="41"/>
        <v>58166.32</v>
      </c>
      <c r="K545" s="89">
        <f t="shared" si="41"/>
        <v>11544.59</v>
      </c>
      <c r="L545" s="89">
        <f t="shared" si="41"/>
        <v>11441325.880000003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3468571.4000000004</v>
      </c>
      <c r="G549" s="87">
        <f>L526</f>
        <v>464068.79999999993</v>
      </c>
      <c r="H549" s="87">
        <f>L531</f>
        <v>119423.95</v>
      </c>
      <c r="I549" s="87">
        <f>L536</f>
        <v>11427</v>
      </c>
      <c r="J549" s="87">
        <f>L541</f>
        <v>248604.01</v>
      </c>
      <c r="K549" s="87">
        <f>SUM(F549:J549)</f>
        <v>4312095.16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2481645.31</v>
      </c>
      <c r="G550" s="87">
        <f>L527</f>
        <v>376272</v>
      </c>
      <c r="H550" s="87">
        <f>L532</f>
        <v>101966.77</v>
      </c>
      <c r="I550" s="87">
        <f>L537</f>
        <v>0</v>
      </c>
      <c r="J550" s="87">
        <f>L542</f>
        <v>201570.82</v>
      </c>
      <c r="K550" s="87">
        <f>SUM(F550:J550)</f>
        <v>3161454.9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3225316.2800000003</v>
      </c>
      <c r="G551" s="87">
        <f>L528</f>
        <v>413899.2</v>
      </c>
      <c r="H551" s="87">
        <f>L533</f>
        <v>106832.44</v>
      </c>
      <c r="I551" s="87">
        <f>L538</f>
        <v>0</v>
      </c>
      <c r="J551" s="87">
        <f>L543</f>
        <v>221727.9</v>
      </c>
      <c r="K551" s="87">
        <f>SUM(F551:J551)</f>
        <v>3967775.8200000003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9175532.9900000021</v>
      </c>
      <c r="G552" s="89">
        <f t="shared" si="42"/>
        <v>1254240</v>
      </c>
      <c r="H552" s="89">
        <f t="shared" si="42"/>
        <v>328223.16000000003</v>
      </c>
      <c r="I552" s="89">
        <f t="shared" si="42"/>
        <v>11427</v>
      </c>
      <c r="J552" s="89">
        <f t="shared" si="42"/>
        <v>671902.73</v>
      </c>
      <c r="K552" s="89">
        <f t="shared" si="42"/>
        <v>11441325.880000001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22233.86</v>
      </c>
      <c r="G562" s="18"/>
      <c r="H562" s="18">
        <v>1173.3499999999999</v>
      </c>
      <c r="I562" s="18">
        <v>884.6</v>
      </c>
      <c r="J562" s="18"/>
      <c r="K562" s="18"/>
      <c r="L562" s="88">
        <f>SUM(F562:K562)</f>
        <v>24291.809999999998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18027.45</v>
      </c>
      <c r="G563" s="18"/>
      <c r="H563" s="18">
        <v>951.37</v>
      </c>
      <c r="I563" s="18">
        <v>717.24</v>
      </c>
      <c r="J563" s="18"/>
      <c r="K563" s="18"/>
      <c r="L563" s="88">
        <f>SUM(F563:K563)</f>
        <v>19696.060000000001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19830.2</v>
      </c>
      <c r="G564" s="18"/>
      <c r="H564" s="18">
        <v>1046.5</v>
      </c>
      <c r="I564" s="18">
        <v>788.97</v>
      </c>
      <c r="J564" s="18"/>
      <c r="K564" s="18"/>
      <c r="L564" s="88">
        <f>SUM(F564:K564)</f>
        <v>21665.670000000002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60091.509999999995</v>
      </c>
      <c r="G565" s="89">
        <f t="shared" si="44"/>
        <v>0</v>
      </c>
      <c r="H565" s="89">
        <f t="shared" si="44"/>
        <v>3171.22</v>
      </c>
      <c r="I565" s="89">
        <f t="shared" si="44"/>
        <v>2390.8100000000004</v>
      </c>
      <c r="J565" s="89">
        <f t="shared" si="44"/>
        <v>0</v>
      </c>
      <c r="K565" s="89">
        <f t="shared" si="44"/>
        <v>0</v>
      </c>
      <c r="L565" s="89">
        <f t="shared" si="44"/>
        <v>65653.539999999994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60091.509999999995</v>
      </c>
      <c r="G571" s="89">
        <f t="shared" ref="G571:L571" si="46">G560+G565+G570</f>
        <v>0</v>
      </c>
      <c r="H571" s="89">
        <f t="shared" si="46"/>
        <v>3171.22</v>
      </c>
      <c r="I571" s="89">
        <f t="shared" si="46"/>
        <v>2390.8100000000004</v>
      </c>
      <c r="J571" s="89">
        <f t="shared" si="46"/>
        <v>0</v>
      </c>
      <c r="K571" s="89">
        <f t="shared" si="46"/>
        <v>0</v>
      </c>
      <c r="L571" s="89">
        <f t="shared" si="46"/>
        <v>65653.539999999994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12740.97</v>
      </c>
      <c r="G575" s="18">
        <v>110432.81</v>
      </c>
      <c r="H575" s="18">
        <v>206600</v>
      </c>
      <c r="I575" s="87">
        <f>SUM(F575:H575)</f>
        <v>329773.78000000003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24978.26</v>
      </c>
      <c r="G582" s="18">
        <v>90137.52</v>
      </c>
      <c r="H582" s="18">
        <v>233047.38</v>
      </c>
      <c r="I582" s="87">
        <f t="shared" si="47"/>
        <v>348163.16000000003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>
        <v>129133.26</v>
      </c>
      <c r="I583" s="87">
        <f t="shared" si="47"/>
        <v>129133.26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577803.63</v>
      </c>
      <c r="I591" s="18">
        <v>452273.2</v>
      </c>
      <c r="J591" s="18">
        <v>497500.52</v>
      </c>
      <c r="K591" s="104">
        <f t="shared" ref="K591:K597" si="48">SUM(H591:J591)</f>
        <v>1527577.35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248604.01</v>
      </c>
      <c r="I592" s="18">
        <v>201570.82</v>
      </c>
      <c r="J592" s="18">
        <v>221727.9</v>
      </c>
      <c r="K592" s="104">
        <f t="shared" si="48"/>
        <v>671902.73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40350.699999999997</v>
      </c>
      <c r="K593" s="104">
        <f t="shared" si="48"/>
        <v>40350.699999999997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22690.85</v>
      </c>
      <c r="J594" s="18">
        <v>87676.95</v>
      </c>
      <c r="K594" s="104">
        <f t="shared" si="48"/>
        <v>110367.79999999999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>
        <v>35756.89</v>
      </c>
      <c r="J595" s="18">
        <v>7073.7</v>
      </c>
      <c r="K595" s="104">
        <f t="shared" si="48"/>
        <v>42830.59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8293.5400000000009</v>
      </c>
      <c r="I597" s="18"/>
      <c r="J597" s="18"/>
      <c r="K597" s="104">
        <f t="shared" si="48"/>
        <v>8293.5400000000009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834701.18</v>
      </c>
      <c r="I598" s="108">
        <f>SUM(I591:I597)</f>
        <v>712291.76</v>
      </c>
      <c r="J598" s="108">
        <f>SUM(J591:J597)</f>
        <v>854329.7699999999</v>
      </c>
      <c r="K598" s="108">
        <f>SUM(K591:K597)</f>
        <v>2401322.71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>
        <v>23089.88</v>
      </c>
      <c r="K602" s="104">
        <f>SUM(H602:J602)</f>
        <v>23089.88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184907.13</v>
      </c>
      <c r="I604" s="18">
        <v>211832.74</v>
      </c>
      <c r="J604" s="18">
        <v>258330.56</v>
      </c>
      <c r="K604" s="104">
        <f>SUM(H604:J604)</f>
        <v>655070.42999999993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184907.13</v>
      </c>
      <c r="I605" s="108">
        <f>SUM(I602:I604)</f>
        <v>211832.74</v>
      </c>
      <c r="J605" s="108">
        <f>SUM(J602:J604)</f>
        <v>281420.44</v>
      </c>
      <c r="K605" s="108">
        <f>SUM(K602:K604)</f>
        <v>678160.30999999994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2571668.31</v>
      </c>
      <c r="H617" s="109">
        <f>SUM(F52)</f>
        <v>2571668.3100000005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298573.76999999996</v>
      </c>
      <c r="H618" s="109">
        <f>SUM(G52)</f>
        <v>298573.77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281923.90999999997</v>
      </c>
      <c r="H619" s="109">
        <f>SUM(H52)</f>
        <v>281923.92</v>
      </c>
      <c r="I619" s="121" t="s">
        <v>887</v>
      </c>
      <c r="J619" s="109">
        <f>G619-H619</f>
        <v>-1.0000000009313226E-2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993456.21</v>
      </c>
      <c r="H620" s="109">
        <f>SUM(I52)</f>
        <v>993456.22</v>
      </c>
      <c r="I620" s="121" t="s">
        <v>888</v>
      </c>
      <c r="J620" s="109">
        <f>G620-H620</f>
        <v>-1.0000000009313226E-2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2538938.79</v>
      </c>
      <c r="H621" s="109">
        <f>SUM(J52)</f>
        <v>2538938.7799999998</v>
      </c>
      <c r="I621" s="121" t="s">
        <v>889</v>
      </c>
      <c r="J621" s="109">
        <f>G621-H621</f>
        <v>1.0000000242143869E-2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2299170.8600000003</v>
      </c>
      <c r="H622" s="109">
        <f>F476</f>
        <v>2299170.8599999994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52962.37</v>
      </c>
      <c r="H624" s="109">
        <f>H476</f>
        <v>52962.369999999879</v>
      </c>
      <c r="I624" s="121" t="s">
        <v>103</v>
      </c>
      <c r="J624" s="109">
        <f t="shared" si="50"/>
        <v>1.2369127944111824E-10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990603.7</v>
      </c>
      <c r="H625" s="109">
        <f>I476</f>
        <v>990603.69</v>
      </c>
      <c r="I625" s="121" t="s">
        <v>104</v>
      </c>
      <c r="J625" s="109">
        <f t="shared" si="50"/>
        <v>1.0000000009313226E-2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2523332.7999999998</v>
      </c>
      <c r="H626" s="109">
        <f>J476</f>
        <v>2523332.81</v>
      </c>
      <c r="I626" s="140" t="s">
        <v>105</v>
      </c>
      <c r="J626" s="109">
        <f t="shared" si="50"/>
        <v>-1.0000000242143869E-2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41777676.43</v>
      </c>
      <c r="H627" s="104">
        <f>SUM(F468)</f>
        <v>41777676.43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1088974.55</v>
      </c>
      <c r="H628" s="104">
        <f>SUM(G468)</f>
        <v>1088974.55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1339061.1700000002</v>
      </c>
      <c r="H629" s="104">
        <f>SUM(H468)</f>
        <v>1339061.17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1000046.58</v>
      </c>
      <c r="H630" s="104">
        <f>SUM(I468)</f>
        <v>1000046.58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551924.67000000004</v>
      </c>
      <c r="H631" s="104">
        <f>SUM(J468)</f>
        <v>551924.67000000004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42752433.200000003</v>
      </c>
      <c r="H632" s="104">
        <f>SUM(F472)</f>
        <v>42752433.200000003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1286098.8000000005</v>
      </c>
      <c r="H633" s="104">
        <f>SUM(H472)</f>
        <v>1286098.8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1013353.43</v>
      </c>
      <c r="H635" s="104">
        <f>SUM(G472)</f>
        <v>1013353.43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9442.89</v>
      </c>
      <c r="H636" s="104">
        <f>SUM(I472)</f>
        <v>9442.89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551924.67000000004</v>
      </c>
      <c r="H637" s="164">
        <f>SUM(J468)</f>
        <v>551924.67000000004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2538938.79</v>
      </c>
      <c r="H639" s="104">
        <f>SUM(F461)</f>
        <v>2538938.7799999998</v>
      </c>
      <c r="I639" s="140" t="s">
        <v>851</v>
      </c>
      <c r="J639" s="109">
        <f t="shared" si="50"/>
        <v>1.0000000242143869E-2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2538938.79</v>
      </c>
      <c r="H642" s="104">
        <f>SUM(I461)</f>
        <v>2538938.7799999998</v>
      </c>
      <c r="I642" s="140" t="s">
        <v>854</v>
      </c>
      <c r="J642" s="109">
        <f t="shared" si="50"/>
        <v>1.0000000242143869E-2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1924.67</v>
      </c>
      <c r="H644" s="104">
        <f>H408</f>
        <v>1924.67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550000</v>
      </c>
      <c r="H645" s="104">
        <f>G408</f>
        <v>550000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551924.67000000004</v>
      </c>
      <c r="H646" s="104">
        <f>L408</f>
        <v>551924.67000000004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2401322.71</v>
      </c>
      <c r="H647" s="104">
        <f>L208+L226+L244</f>
        <v>2401322.71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678160.30999999994</v>
      </c>
      <c r="H648" s="104">
        <f>(J257+J338)-(J255+J336)</f>
        <v>678160.30999999994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834701.18</v>
      </c>
      <c r="H649" s="104">
        <f>H598</f>
        <v>834701.18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712291.76</v>
      </c>
      <c r="H650" s="104">
        <f>I598</f>
        <v>712291.76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854329.77</v>
      </c>
      <c r="H651" s="104">
        <f>J598</f>
        <v>854329.7699999999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185284.1</v>
      </c>
      <c r="H652" s="104">
        <f>K263+K345</f>
        <v>185284.1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550000</v>
      </c>
      <c r="H655" s="104">
        <f>K266+K347</f>
        <v>550000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1.000000536441803E-2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16621275.880000003</v>
      </c>
      <c r="G660" s="19">
        <f>(L229+L309+L359)</f>
        <v>12663724.810000001</v>
      </c>
      <c r="H660" s="19">
        <f>(L247+L328+L360)</f>
        <v>14575400.349999996</v>
      </c>
      <c r="I660" s="19">
        <f>SUM(F660:H660)</f>
        <v>43860401.039999999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174484.21119435338</v>
      </c>
      <c r="G661" s="19">
        <f>(L359/IF(SUM(L358:L360)=0,1,SUM(L358:L360))*(SUM(G97:G110)))</f>
        <v>141473.68638724339</v>
      </c>
      <c r="H661" s="19">
        <f>(L360/IF(SUM(L358:L360)=0,1,SUM(L358:L360))*(SUM(G97:G110)))</f>
        <v>155620.96241840321</v>
      </c>
      <c r="I661" s="19">
        <f>SUM(F661:H661)</f>
        <v>471578.86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849597.22000000009</v>
      </c>
      <c r="G662" s="19">
        <f>(L226+L306)-(J226+J306)</f>
        <v>712291.76</v>
      </c>
      <c r="H662" s="19">
        <f>(L244+L325)-(J244+J325)</f>
        <v>854329.77</v>
      </c>
      <c r="I662" s="19">
        <f>SUM(F662:H662)</f>
        <v>2416218.75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222626.36</v>
      </c>
      <c r="G663" s="199">
        <f>SUM(G575:G587)+SUM(I602:I604)+L612</f>
        <v>412403.07</v>
      </c>
      <c r="H663" s="199">
        <f>SUM(H575:H587)+SUM(J602:J604)+L613</f>
        <v>850201.08000000007</v>
      </c>
      <c r="I663" s="19">
        <f>SUM(F663:H663)</f>
        <v>1485230.51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15374568.088805649</v>
      </c>
      <c r="G664" s="19">
        <f>G660-SUM(G661:G663)</f>
        <v>11397556.293612758</v>
      </c>
      <c r="H664" s="19">
        <f>H660-SUM(H661:H663)</f>
        <v>12715248.537581593</v>
      </c>
      <c r="I664" s="19">
        <f>I660-SUM(I661:I663)</f>
        <v>39487372.920000002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764.93</v>
      </c>
      <c r="G665" s="248">
        <v>661.38</v>
      </c>
      <c r="H665" s="248">
        <v>720.79</v>
      </c>
      <c r="I665" s="19">
        <f>SUM(F665:H665)</f>
        <v>2147.1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20099.310000000001</v>
      </c>
      <c r="G667" s="19">
        <f>ROUND(G664/G665,2)</f>
        <v>17232.990000000002</v>
      </c>
      <c r="H667" s="19">
        <f>ROUND(H664/H665,2)</f>
        <v>17640.71</v>
      </c>
      <c r="I667" s="19">
        <f>ROUND(I664/I665,2)</f>
        <v>18391.03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-1.99</v>
      </c>
      <c r="I670" s="19">
        <f>SUM(F670:H670)</f>
        <v>-1.99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20099.310000000001</v>
      </c>
      <c r="G672" s="19">
        <f>ROUND((G664+G669)/(G665+G670),2)</f>
        <v>17232.990000000002</v>
      </c>
      <c r="H672" s="19">
        <f>ROUND((H664+H669)/(H665+H670),2)</f>
        <v>17689.55</v>
      </c>
      <c r="I672" s="19">
        <f>ROUND((I664+I669)/(I665+I670),2)</f>
        <v>18408.09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zoomScale="130" zoomScaleNormal="130" workbookViewId="0">
      <selection activeCell="H26" sqref="H25:H2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Contoocook Valley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9920692.2100000009</v>
      </c>
      <c r="C9" s="229">
        <f>'DOE25'!G197+'DOE25'!G215+'DOE25'!G233+'DOE25'!G276+'DOE25'!G295+'DOE25'!G314</f>
        <v>4526786.0699999994</v>
      </c>
    </row>
    <row r="10" spans="1:3" x14ac:dyDescent="0.2">
      <c r="A10" t="s">
        <v>773</v>
      </c>
      <c r="B10" s="240">
        <v>8779812.4000000004</v>
      </c>
      <c r="C10" s="240">
        <v>4006208.23</v>
      </c>
    </row>
    <row r="11" spans="1:3" x14ac:dyDescent="0.2">
      <c r="A11" t="s">
        <v>774</v>
      </c>
      <c r="B11" s="240">
        <v>248017.52</v>
      </c>
      <c r="C11" s="240">
        <v>113269.65</v>
      </c>
    </row>
    <row r="12" spans="1:3" x14ac:dyDescent="0.2">
      <c r="A12" t="s">
        <v>775</v>
      </c>
      <c r="B12" s="240">
        <v>892862.29</v>
      </c>
      <c r="C12" s="240">
        <v>407308.19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9920692.2100000009</v>
      </c>
      <c r="C13" s="231">
        <f>SUM(C10:C12)</f>
        <v>4526786.07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5261053.3299999991</v>
      </c>
      <c r="C18" s="229">
        <f>'DOE25'!G198+'DOE25'!G216+'DOE25'!G234+'DOE25'!G277+'DOE25'!G296+'DOE25'!G315</f>
        <v>2913976.28</v>
      </c>
    </row>
    <row r="19" spans="1:3" x14ac:dyDescent="0.2">
      <c r="A19" t="s">
        <v>773</v>
      </c>
      <c r="B19" s="240">
        <v>2762052.8</v>
      </c>
      <c r="C19" s="240">
        <v>1649310.02</v>
      </c>
    </row>
    <row r="20" spans="1:3" x14ac:dyDescent="0.2">
      <c r="A20" t="s">
        <v>774</v>
      </c>
      <c r="B20" s="240">
        <v>2104421.2000000002</v>
      </c>
      <c r="C20" s="240">
        <v>1020245</v>
      </c>
    </row>
    <row r="21" spans="1:3" x14ac:dyDescent="0.2">
      <c r="A21" t="s">
        <v>775</v>
      </c>
      <c r="B21" s="240">
        <v>394579.33</v>
      </c>
      <c r="C21" s="240">
        <v>244421.26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5261053.33</v>
      </c>
      <c r="C22" s="231">
        <f>SUM(C19:C21)</f>
        <v>2913976.2800000003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569211.41999999993</v>
      </c>
      <c r="C27" s="234">
        <f>'DOE25'!G199+'DOE25'!G217+'DOE25'!G235+'DOE25'!G278+'DOE25'!G297+'DOE25'!G316</f>
        <v>307316.19999999995</v>
      </c>
    </row>
    <row r="28" spans="1:3" x14ac:dyDescent="0.2">
      <c r="A28" t="s">
        <v>773</v>
      </c>
      <c r="B28" s="240">
        <v>569211.42000000004</v>
      </c>
      <c r="C28" s="240">
        <v>307316.2</v>
      </c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569211.42000000004</v>
      </c>
      <c r="C31" s="231">
        <f>SUM(C28:C30)</f>
        <v>307316.2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477435.26</v>
      </c>
      <c r="C36" s="235">
        <f>'DOE25'!G200+'DOE25'!G218+'DOE25'!G236+'DOE25'!G279+'DOE25'!G298+'DOE25'!G317</f>
        <v>158691.56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477435.26</v>
      </c>
      <c r="C39" s="240">
        <v>158691.56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477435.26</v>
      </c>
      <c r="C40" s="231">
        <f>SUM(C37:C39)</f>
        <v>158691.56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16" sqref="F16:F1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Contoocook Valley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25702808.859999999</v>
      </c>
      <c r="D5" s="20">
        <f>SUM('DOE25'!L197:L200)+SUM('DOE25'!L215:L218)+SUM('DOE25'!L233:L236)-F5-G5</f>
        <v>25429252.530000001</v>
      </c>
      <c r="E5" s="243"/>
      <c r="F5" s="255">
        <f>SUM('DOE25'!J197:J200)+SUM('DOE25'!J215:J218)+SUM('DOE25'!J233:J236)</f>
        <v>199871.86000000002</v>
      </c>
      <c r="G5" s="53">
        <f>SUM('DOE25'!K197:K200)+SUM('DOE25'!K215:K218)+SUM('DOE25'!K233:K236)</f>
        <v>73684.47</v>
      </c>
      <c r="H5" s="259"/>
    </row>
    <row r="6" spans="1:9" x14ac:dyDescent="0.2">
      <c r="A6" s="32">
        <v>2100</v>
      </c>
      <c r="B6" t="s">
        <v>795</v>
      </c>
      <c r="C6" s="245">
        <f t="shared" si="0"/>
        <v>2625090.4900000002</v>
      </c>
      <c r="D6" s="20">
        <f>'DOE25'!L202+'DOE25'!L220+'DOE25'!L238-F6-G6</f>
        <v>2284446.2600000002</v>
      </c>
      <c r="E6" s="243"/>
      <c r="F6" s="255">
        <f>'DOE25'!J202+'DOE25'!J220+'DOE25'!J238</f>
        <v>333222.75</v>
      </c>
      <c r="G6" s="53">
        <f>'DOE25'!K202+'DOE25'!K220+'DOE25'!K238</f>
        <v>7421.48</v>
      </c>
      <c r="H6" s="259"/>
    </row>
    <row r="7" spans="1:9" x14ac:dyDescent="0.2">
      <c r="A7" s="32">
        <v>2200</v>
      </c>
      <c r="B7" t="s">
        <v>828</v>
      </c>
      <c r="C7" s="245">
        <f t="shared" si="0"/>
        <v>1497105.77</v>
      </c>
      <c r="D7" s="20">
        <f>'DOE25'!L203+'DOE25'!L221+'DOE25'!L239-F7-G7</f>
        <v>1471131.75</v>
      </c>
      <c r="E7" s="243"/>
      <c r="F7" s="255">
        <f>'DOE25'!J203+'DOE25'!J221+'DOE25'!J239</f>
        <v>25974.02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1188283.1000000001</v>
      </c>
      <c r="D8" s="243"/>
      <c r="E8" s="20">
        <f>'DOE25'!L204+'DOE25'!L222+'DOE25'!L240-F8-G8-D9-D11</f>
        <v>1166518.77</v>
      </c>
      <c r="F8" s="255">
        <f>'DOE25'!J204+'DOE25'!J222+'DOE25'!J240</f>
        <v>6529.3</v>
      </c>
      <c r="G8" s="53">
        <f>'DOE25'!K204+'DOE25'!K222+'DOE25'!K240</f>
        <v>15235.029999999999</v>
      </c>
      <c r="H8" s="259"/>
    </row>
    <row r="9" spans="1:9" x14ac:dyDescent="0.2">
      <c r="A9" s="32">
        <v>2310</v>
      </c>
      <c r="B9" t="s">
        <v>812</v>
      </c>
      <c r="C9" s="245">
        <f t="shared" si="0"/>
        <v>320308</v>
      </c>
      <c r="D9" s="244">
        <v>320308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28715</v>
      </c>
      <c r="D10" s="243"/>
      <c r="E10" s="244">
        <v>28715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575755.98</v>
      </c>
      <c r="D11" s="244">
        <v>575755.98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3247456.9000000004</v>
      </c>
      <c r="D12" s="20">
        <f>'DOE25'!L205+'DOE25'!L223+'DOE25'!L241-F12-G12</f>
        <v>3184135.8700000006</v>
      </c>
      <c r="E12" s="243"/>
      <c r="F12" s="255">
        <f>'DOE25'!J205+'DOE25'!J223+'DOE25'!J241</f>
        <v>224.05</v>
      </c>
      <c r="G12" s="53">
        <f>'DOE25'!K205+'DOE25'!K223+'DOE25'!K241</f>
        <v>63096.979999999996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4005886.58</v>
      </c>
      <c r="D14" s="20">
        <f>'DOE25'!L207+'DOE25'!L225+'DOE25'!L243-F14-G14</f>
        <v>3956538.43</v>
      </c>
      <c r="E14" s="243"/>
      <c r="F14" s="255">
        <f>'DOE25'!J207+'DOE25'!J225+'DOE25'!J243</f>
        <v>49348.15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2401322.71</v>
      </c>
      <c r="D15" s="20">
        <f>'DOE25'!L208+'DOE25'!L226+'DOE25'!L244-F15-G15</f>
        <v>2401322.71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5695.71</v>
      </c>
      <c r="D16" s="243"/>
      <c r="E16" s="20">
        <f>'DOE25'!L209+'DOE25'!L227+'DOE25'!L245-F16-G16</f>
        <v>5695.71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447435</v>
      </c>
      <c r="D25" s="243"/>
      <c r="E25" s="243"/>
      <c r="F25" s="258"/>
      <c r="G25" s="256"/>
      <c r="H25" s="257">
        <f>'DOE25'!L260+'DOE25'!L261+'DOE25'!L341+'DOE25'!L342</f>
        <v>447435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1013353.43</v>
      </c>
      <c r="D29" s="20">
        <f>'DOE25'!L358+'DOE25'!L359+'DOE25'!L360-'DOE25'!I367-F29-G29</f>
        <v>1013353.43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1286098.8000000005</v>
      </c>
      <c r="D31" s="20">
        <f>'DOE25'!L290+'DOE25'!L309+'DOE25'!L328+'DOE25'!L333+'DOE25'!L334+'DOE25'!L335-F31-G31</f>
        <v>1217760.1100000006</v>
      </c>
      <c r="E31" s="243"/>
      <c r="F31" s="255">
        <f>'DOE25'!J290+'DOE25'!J309+'DOE25'!J328+'DOE25'!J333+'DOE25'!J334+'DOE25'!J335</f>
        <v>62990.18</v>
      </c>
      <c r="G31" s="53">
        <f>'DOE25'!K290+'DOE25'!K309+'DOE25'!K328+'DOE25'!K333+'DOE25'!K334+'DOE25'!K335</f>
        <v>5348.51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41854005.070000008</v>
      </c>
      <c r="E33" s="246">
        <f>SUM(E5:E31)</f>
        <v>1200929.48</v>
      </c>
      <c r="F33" s="246">
        <f>SUM(F5:F31)</f>
        <v>678160.31000000017</v>
      </c>
      <c r="G33" s="246">
        <f>SUM(G5:G31)</f>
        <v>164786.47</v>
      </c>
      <c r="H33" s="246">
        <f>SUM(H5:H31)</f>
        <v>447435</v>
      </c>
    </row>
    <row r="35" spans="2:8" ht="12" thickBot="1" x14ac:dyDescent="0.25">
      <c r="B35" s="253" t="s">
        <v>841</v>
      </c>
      <c r="D35" s="254">
        <f>E33</f>
        <v>1200929.48</v>
      </c>
      <c r="E35" s="249"/>
    </row>
    <row r="36" spans="2:8" ht="12" thickTop="1" x14ac:dyDescent="0.2">
      <c r="B36" t="s">
        <v>809</v>
      </c>
      <c r="D36" s="20">
        <f>D33</f>
        <v>41854005.070000008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27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Contoocook Valley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2585140.39</v>
      </c>
      <c r="D8" s="95">
        <f>'DOE25'!G9</f>
        <v>64641.45</v>
      </c>
      <c r="E8" s="95">
        <f>'DOE25'!H9</f>
        <v>0</v>
      </c>
      <c r="F8" s="95">
        <f>'DOE25'!I9</f>
        <v>995653.35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5981.13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2521676.1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185252.77</v>
      </c>
      <c r="D11" s="95">
        <f>'DOE25'!G12</f>
        <v>206678.78</v>
      </c>
      <c r="E11" s="95">
        <f>'DOE25'!H12</f>
        <v>281923.90999999997</v>
      </c>
      <c r="F11" s="95">
        <f>'DOE25'!I12</f>
        <v>-2197.14</v>
      </c>
      <c r="G11" s="95">
        <f>'DOE25'!J12</f>
        <v>17262.689999999999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98329.709999999992</v>
      </c>
      <c r="D13" s="95">
        <f>'DOE25'!G14</f>
        <v>27253.54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29002.81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-332038.5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2571668.31</v>
      </c>
      <c r="D18" s="41">
        <f>SUM(D8:D17)</f>
        <v>298573.76999999996</v>
      </c>
      <c r="E18" s="41">
        <f>SUM(E8:E17)</f>
        <v>281923.90999999997</v>
      </c>
      <c r="F18" s="41">
        <f>SUM(F8:F17)</f>
        <v>993456.21</v>
      </c>
      <c r="G18" s="41">
        <f>SUM(G8:G17)</f>
        <v>2538938.79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206526.75</v>
      </c>
      <c r="D21" s="95">
        <f>'DOE25'!G22</f>
        <v>281854.95</v>
      </c>
      <c r="E21" s="95">
        <f>'DOE25'!H22</f>
        <v>228961.55</v>
      </c>
      <c r="F21" s="95">
        <f>'DOE25'!I22</f>
        <v>2852.52</v>
      </c>
      <c r="G21" s="95">
        <f>'DOE25'!J22</f>
        <v>15605.98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65970.7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16718.82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272497.45</v>
      </c>
      <c r="D31" s="41">
        <f>SUM(D21:D30)</f>
        <v>298573.77</v>
      </c>
      <c r="E31" s="41">
        <f>SUM(E21:E30)</f>
        <v>228961.55</v>
      </c>
      <c r="F31" s="41">
        <f>SUM(F21:F30)</f>
        <v>2852.52</v>
      </c>
      <c r="G31" s="41">
        <f>SUM(G21:G30)</f>
        <v>15605.98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50830.31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425000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52962.37</v>
      </c>
      <c r="F47" s="95">
        <f>'DOE25'!I48</f>
        <v>990603.7</v>
      </c>
      <c r="G47" s="95">
        <f>'DOE25'!J48</f>
        <v>2523332.7999999998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972002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851338.55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2299170.8600000003</v>
      </c>
      <c r="D50" s="41">
        <f>SUM(D34:D49)</f>
        <v>0</v>
      </c>
      <c r="E50" s="41">
        <f>SUM(E34:E49)</f>
        <v>52962.37</v>
      </c>
      <c r="F50" s="41">
        <f>SUM(F34:F49)</f>
        <v>990603.7</v>
      </c>
      <c r="G50" s="41">
        <f>SUM(G34:G49)</f>
        <v>2523332.7999999998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2571668.3100000005</v>
      </c>
      <c r="D51" s="41">
        <f>D50+D31</f>
        <v>298573.77</v>
      </c>
      <c r="E51" s="41">
        <f>E50+E31</f>
        <v>281923.92</v>
      </c>
      <c r="F51" s="41">
        <f>F50+F31</f>
        <v>993456.22</v>
      </c>
      <c r="G51" s="41">
        <f>G50+G31</f>
        <v>2538938.7799999998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28423720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218970.85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8500.24</v>
      </c>
      <c r="D59" s="95">
        <f>'DOE25'!G96</f>
        <v>48.64</v>
      </c>
      <c r="E59" s="95">
        <f>'DOE25'!H96</f>
        <v>0</v>
      </c>
      <c r="F59" s="95">
        <f>'DOE25'!I96</f>
        <v>46.58</v>
      </c>
      <c r="G59" s="95">
        <f>'DOE25'!J96</f>
        <v>1924.67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471578.86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76052.22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227471.09</v>
      </c>
      <c r="D62" s="130">
        <f>SUM(D57:D61)</f>
        <v>471627.5</v>
      </c>
      <c r="E62" s="130">
        <f>SUM(E57:E61)</f>
        <v>76052.22</v>
      </c>
      <c r="F62" s="130">
        <f>SUM(F57:F61)</f>
        <v>46.58</v>
      </c>
      <c r="G62" s="130">
        <f>SUM(G57:G61)</f>
        <v>1924.67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28651191.09</v>
      </c>
      <c r="D63" s="22">
        <f>D56+D62</f>
        <v>471627.5</v>
      </c>
      <c r="E63" s="22">
        <f>E56+E62</f>
        <v>76052.22</v>
      </c>
      <c r="F63" s="22">
        <f>F56+F62</f>
        <v>46.58</v>
      </c>
      <c r="G63" s="22">
        <f>G56+G62</f>
        <v>1924.67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7383964.46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4560911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23508.47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11968383.930000002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440790.34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348387.57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14533.29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81126.53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803711.20000000007</v>
      </c>
      <c r="D78" s="130">
        <f>SUM(D72:D77)</f>
        <v>81126.53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12772095.130000001</v>
      </c>
      <c r="D81" s="130">
        <f>SUM(D79:D80)+D78+D70</f>
        <v>81126.53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268188.21000000002</v>
      </c>
      <c r="D88" s="95">
        <f>SUM('DOE25'!G153:G161)</f>
        <v>350936.42000000004</v>
      </c>
      <c r="E88" s="95">
        <f>SUM('DOE25'!H153:H161)</f>
        <v>1263008.9500000002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268188.21000000002</v>
      </c>
      <c r="D91" s="131">
        <f>SUM(D85:D90)</f>
        <v>350936.42000000004</v>
      </c>
      <c r="E91" s="131">
        <f>SUM(E85:E90)</f>
        <v>1263008.9500000002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1000000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185284.1</v>
      </c>
      <c r="E96" s="95">
        <f>'DOE25'!H179</f>
        <v>0</v>
      </c>
      <c r="F96" s="95">
        <f>'DOE25'!I179</f>
        <v>0</v>
      </c>
      <c r="G96" s="95">
        <f>'DOE25'!J179</f>
        <v>550000</v>
      </c>
    </row>
    <row r="97" spans="1:7" x14ac:dyDescent="0.2">
      <c r="A97" t="s">
        <v>752</v>
      </c>
      <c r="B97" s="32" t="s">
        <v>188</v>
      </c>
      <c r="C97" s="95">
        <f>SUM('DOE25'!F180:F181)</f>
        <v>86202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86202</v>
      </c>
      <c r="D103" s="86">
        <f>SUM(D93:D102)</f>
        <v>185284.1</v>
      </c>
      <c r="E103" s="86">
        <f>SUM(E93:E102)</f>
        <v>0</v>
      </c>
      <c r="F103" s="86">
        <f>SUM(F93:F102)</f>
        <v>1000000</v>
      </c>
      <c r="G103" s="86">
        <f>SUM(G93:G102)</f>
        <v>550000</v>
      </c>
    </row>
    <row r="104" spans="1:7" ht="12.75" thickTop="1" thickBot="1" x14ac:dyDescent="0.25">
      <c r="A104" s="33" t="s">
        <v>759</v>
      </c>
      <c r="C104" s="86">
        <f>C63+C81+C91+C103</f>
        <v>41777676.43</v>
      </c>
      <c r="D104" s="86">
        <f>D63+D81+D91+D103</f>
        <v>1088974.55</v>
      </c>
      <c r="E104" s="86">
        <f>E63+E81+E91+E103</f>
        <v>1339061.1700000002</v>
      </c>
      <c r="F104" s="86">
        <f>F63+F81+F91+F103</f>
        <v>1000046.58</v>
      </c>
      <c r="G104" s="86">
        <f>G63+G81+G103</f>
        <v>551924.67000000004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14728698.33</v>
      </c>
      <c r="D109" s="24" t="s">
        <v>286</v>
      </c>
      <c r="E109" s="95">
        <f>('DOE25'!L276)+('DOE25'!L295)+('DOE25'!L314)</f>
        <v>416501.12000000005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9172532.9900000021</v>
      </c>
      <c r="D110" s="24" t="s">
        <v>286</v>
      </c>
      <c r="E110" s="95">
        <f>('DOE25'!L277)+('DOE25'!L296)+('DOE25'!L315)</f>
        <v>623962.15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927065.96000000008</v>
      </c>
      <c r="D111" s="24" t="s">
        <v>286</v>
      </c>
      <c r="E111" s="95">
        <f>('DOE25'!L278)+('DOE25'!L297)+('DOE25'!L316)</f>
        <v>64118.3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874511.57999999984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8765.2900000000009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25702808.859999999</v>
      </c>
      <c r="D115" s="86">
        <f>SUM(D109:D114)</f>
        <v>0</v>
      </c>
      <c r="E115" s="86">
        <f>SUM(E109:E114)</f>
        <v>1113346.8600000001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2625090.4900000002</v>
      </c>
      <c r="D118" s="24" t="s">
        <v>286</v>
      </c>
      <c r="E118" s="95">
        <f>+('DOE25'!L281)+('DOE25'!L300)+('DOE25'!L319)</f>
        <v>37562.699999999997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1497105.77</v>
      </c>
      <c r="D119" s="24" t="s">
        <v>286</v>
      </c>
      <c r="E119" s="95">
        <f>+('DOE25'!L282)+('DOE25'!L301)+('DOE25'!L320)</f>
        <v>58831.35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2084347.08</v>
      </c>
      <c r="D120" s="24" t="s">
        <v>286</v>
      </c>
      <c r="E120" s="95">
        <f>+('DOE25'!L283)+('DOE25'!L302)+('DOE25'!L321)</f>
        <v>2285.84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3247456.9000000004</v>
      </c>
      <c r="D121" s="24" t="s">
        <v>286</v>
      </c>
      <c r="E121" s="95">
        <f>+('DOE25'!L284)+('DOE25'!L303)+('DOE25'!L322)</f>
        <v>59176.010000000009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4005886.58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2401322.71</v>
      </c>
      <c r="D124" s="24" t="s">
        <v>286</v>
      </c>
      <c r="E124" s="95">
        <f>+('DOE25'!L287)+('DOE25'!L306)+('DOE25'!L325)</f>
        <v>14896.04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5695.71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1013353.43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15866905.240000002</v>
      </c>
      <c r="D128" s="86">
        <f>SUM(D118:D127)</f>
        <v>1013353.43</v>
      </c>
      <c r="E128" s="86">
        <f>SUM(E118:E127)</f>
        <v>172751.94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9442.89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360000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87435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185284.1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75000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475000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1924.67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-1924.6700000000419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1182719.1000000001</v>
      </c>
      <c r="D144" s="141">
        <f>SUM(D130:D143)</f>
        <v>0</v>
      </c>
      <c r="E144" s="141">
        <f>SUM(E130:E143)</f>
        <v>0</v>
      </c>
      <c r="F144" s="141">
        <f>SUM(F130:F143)</f>
        <v>9442.89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42752433.200000003</v>
      </c>
      <c r="D145" s="86">
        <f>(D115+D128+D144)</f>
        <v>1013353.43</v>
      </c>
      <c r="E145" s="86">
        <f>(E115+E128+E144)</f>
        <v>1286098.8</v>
      </c>
      <c r="F145" s="86">
        <f>(F115+F128+F144)</f>
        <v>9442.89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02/15/2013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02/15/2023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3750000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1.69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2135000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2135000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360000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360000</v>
      </c>
    </row>
    <row r="159" spans="1:9" x14ac:dyDescent="0.2">
      <c r="A159" s="22" t="s">
        <v>35</v>
      </c>
      <c r="B159" s="137">
        <f>'DOE25'!F498</f>
        <v>1175000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1175000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1175000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1175000</v>
      </c>
    </row>
    <row r="162" spans="1:7" x14ac:dyDescent="0.2">
      <c r="A162" s="22" t="s">
        <v>38</v>
      </c>
      <c r="B162" s="137">
        <f>'DOE25'!F501</f>
        <v>360000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360000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360000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360000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31" workbookViewId="0">
      <selection activeCell="J52" sqref="J5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Contoocook Valley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20099</v>
      </c>
    </row>
    <row r="5" spans="1:4" x14ac:dyDescent="0.2">
      <c r="B5" t="s">
        <v>698</v>
      </c>
      <c r="C5" s="179">
        <f>IF('DOE25'!G665+'DOE25'!G670=0,0,ROUND('DOE25'!G672,0))</f>
        <v>17233</v>
      </c>
    </row>
    <row r="6" spans="1:4" x14ac:dyDescent="0.2">
      <c r="B6" t="s">
        <v>62</v>
      </c>
      <c r="C6" s="179">
        <f>IF('DOE25'!H665+'DOE25'!H670=0,0,ROUND('DOE25'!H672,0))</f>
        <v>17690</v>
      </c>
    </row>
    <row r="7" spans="1:4" x14ac:dyDescent="0.2">
      <c r="B7" t="s">
        <v>699</v>
      </c>
      <c r="C7" s="179">
        <f>IF('DOE25'!I665+'DOE25'!I670=0,0,ROUND('DOE25'!I672,0))</f>
        <v>18408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15145199</v>
      </c>
      <c r="D10" s="182">
        <f>ROUND((C10/$C$28)*100,1)</f>
        <v>34.799999999999997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9796495</v>
      </c>
      <c r="D11" s="182">
        <f>ROUND((C11/$C$28)*100,1)</f>
        <v>22.5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991184</v>
      </c>
      <c r="D12" s="182">
        <f>ROUND((C12/$C$28)*100,1)</f>
        <v>2.2999999999999998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874512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2662653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1555937</v>
      </c>
      <c r="D16" s="182">
        <f t="shared" si="0"/>
        <v>3.6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2092329</v>
      </c>
      <c r="D17" s="182">
        <f t="shared" si="0"/>
        <v>4.8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3306633</v>
      </c>
      <c r="D18" s="182">
        <f t="shared" si="0"/>
        <v>7.6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4005887</v>
      </c>
      <c r="D20" s="182">
        <f t="shared" si="0"/>
        <v>9.1999999999999993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2416219</v>
      </c>
      <c r="D21" s="182">
        <f t="shared" si="0"/>
        <v>5.6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8765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87435</v>
      </c>
      <c r="D25" s="182">
        <f t="shared" si="0"/>
        <v>0.2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541774.14</v>
      </c>
      <c r="D27" s="182">
        <f t="shared" si="0"/>
        <v>1.2</v>
      </c>
    </row>
    <row r="28" spans="1:4" x14ac:dyDescent="0.2">
      <c r="B28" s="187" t="s">
        <v>717</v>
      </c>
      <c r="C28" s="180">
        <f>SUM(C10:C27)</f>
        <v>43485022.140000001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9443</v>
      </c>
    </row>
    <row r="30" spans="1:4" x14ac:dyDescent="0.2">
      <c r="B30" s="187" t="s">
        <v>723</v>
      </c>
      <c r="C30" s="180">
        <f>SUM(C28:C29)</f>
        <v>43494465.140000001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360000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28423720</v>
      </c>
      <c r="D35" s="182">
        <f t="shared" ref="D35:D40" si="1">ROUND((C35/$C$41)*100,1)</f>
        <v>65.400000000000006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305543.19999999925</v>
      </c>
      <c r="D36" s="182">
        <f t="shared" si="1"/>
        <v>0.7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11944875</v>
      </c>
      <c r="D37" s="182">
        <f t="shared" si="1"/>
        <v>27.5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908346</v>
      </c>
      <c r="D38" s="182">
        <f t="shared" si="1"/>
        <v>2.1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1882134</v>
      </c>
      <c r="D39" s="182">
        <f t="shared" si="1"/>
        <v>4.3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43464618.200000003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1000000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Contoocook Valley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2018-10-15T14:24:47Z</cp:lastPrinted>
  <dcterms:created xsi:type="dcterms:W3CDTF">1997-12-04T19:04:30Z</dcterms:created>
  <dcterms:modified xsi:type="dcterms:W3CDTF">2018-12-03T18:37:12Z</dcterms:modified>
</cp:coreProperties>
</file>