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69" i="1" l="1"/>
  <c r="E10" i="13" l="1"/>
  <c r="J604" i="1" l="1"/>
  <c r="J358" i="1"/>
  <c r="G233" i="1"/>
  <c r="F233" i="1"/>
  <c r="G215" i="1"/>
  <c r="F215" i="1"/>
  <c r="G197" i="1"/>
  <c r="F197" i="1"/>
  <c r="F28" i="1" l="1"/>
  <c r="F9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9" i="10" s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18" i="2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 s="1"/>
  <c r="L284" i="1"/>
  <c r="E121" i="2" s="1"/>
  <c r="L285" i="1"/>
  <c r="E122" i="2" s="1"/>
  <c r="L286" i="1"/>
  <c r="L287" i="1"/>
  <c r="L288" i="1"/>
  <c r="L295" i="1"/>
  <c r="L296" i="1"/>
  <c r="E110" i="2" s="1"/>
  <c r="L297" i="1"/>
  <c r="E111" i="2" s="1"/>
  <c r="L298" i="1"/>
  <c r="L300" i="1"/>
  <c r="L301" i="1"/>
  <c r="L302" i="1"/>
  <c r="L303" i="1"/>
  <c r="L304" i="1"/>
  <c r="L305" i="1"/>
  <c r="E123" i="2" s="1"/>
  <c r="L306" i="1"/>
  <c r="E124" i="2" s="1"/>
  <c r="L307" i="1"/>
  <c r="E125" i="2" s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C35" i="10" s="1"/>
  <c r="H60" i="1"/>
  <c r="I60" i="1"/>
  <c r="F56" i="2" s="1"/>
  <c r="F79" i="1"/>
  <c r="F94" i="1"/>
  <c r="F111" i="1"/>
  <c r="G111" i="1"/>
  <c r="H79" i="1"/>
  <c r="H94" i="1"/>
  <c r="E58" i="2" s="1"/>
  <c r="E62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L250" i="1"/>
  <c r="L332" i="1"/>
  <c r="L254" i="1"/>
  <c r="L268" i="1"/>
  <c r="L269" i="1"/>
  <c r="C143" i="2" s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51" i="1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7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C91" i="2" s="1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D115" i="2"/>
  <c r="F115" i="2"/>
  <c r="G115" i="2"/>
  <c r="C122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L256" i="1" s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F401" i="1"/>
  <c r="G401" i="1"/>
  <c r="H401" i="1"/>
  <c r="I401" i="1"/>
  <c r="F407" i="1"/>
  <c r="G407" i="1"/>
  <c r="H407" i="1"/>
  <c r="I407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J640" i="1" s="1"/>
  <c r="H446" i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F470" i="1"/>
  <c r="F476" i="1" s="1"/>
  <c r="H622" i="1" s="1"/>
  <c r="J622" i="1" s="1"/>
  <c r="G470" i="1"/>
  <c r="H470" i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J641" i="1" s="1"/>
  <c r="G643" i="1"/>
  <c r="J643" i="1" s="1"/>
  <c r="G644" i="1"/>
  <c r="G645" i="1"/>
  <c r="G650" i="1"/>
  <c r="G652" i="1"/>
  <c r="H652" i="1"/>
  <c r="G653" i="1"/>
  <c r="H653" i="1"/>
  <c r="G654" i="1"/>
  <c r="H654" i="1"/>
  <c r="H655" i="1"/>
  <c r="C26" i="10"/>
  <c r="E13" i="13"/>
  <c r="C13" i="13" s="1"/>
  <c r="J571" i="1"/>
  <c r="I169" i="1"/>
  <c r="F169" i="1"/>
  <c r="J140" i="1"/>
  <c r="I552" i="1"/>
  <c r="G22" i="2"/>
  <c r="H140" i="1"/>
  <c r="F22" i="13"/>
  <c r="C22" i="13" s="1"/>
  <c r="H571" i="1"/>
  <c r="H192" i="1"/>
  <c r="L570" i="1"/>
  <c r="I571" i="1"/>
  <c r="A31" i="12" l="1"/>
  <c r="I460" i="1"/>
  <c r="I446" i="1"/>
  <c r="G642" i="1" s="1"/>
  <c r="H408" i="1"/>
  <c r="H644" i="1" s="1"/>
  <c r="J644" i="1" s="1"/>
  <c r="G408" i="1"/>
  <c r="H645" i="1" s="1"/>
  <c r="J645" i="1" s="1"/>
  <c r="L393" i="1"/>
  <c r="C138" i="2" s="1"/>
  <c r="H545" i="1"/>
  <c r="I545" i="1"/>
  <c r="K551" i="1"/>
  <c r="G552" i="1"/>
  <c r="G545" i="1"/>
  <c r="F552" i="1"/>
  <c r="K550" i="1"/>
  <c r="K549" i="1"/>
  <c r="K598" i="1"/>
  <c r="G647" i="1" s="1"/>
  <c r="G164" i="2"/>
  <c r="G161" i="2"/>
  <c r="G156" i="2"/>
  <c r="G157" i="2"/>
  <c r="I476" i="1"/>
  <c r="H625" i="1" s="1"/>
  <c r="H476" i="1"/>
  <c r="H624" i="1" s="1"/>
  <c r="J624" i="1" s="1"/>
  <c r="G476" i="1"/>
  <c r="H623" i="1" s="1"/>
  <c r="J623" i="1" s="1"/>
  <c r="F130" i="2"/>
  <c r="F144" i="2" s="1"/>
  <c r="F145" i="2" s="1"/>
  <c r="J634" i="1"/>
  <c r="F661" i="1"/>
  <c r="L362" i="1"/>
  <c r="G635" i="1" s="1"/>
  <c r="J635" i="1" s="1"/>
  <c r="H661" i="1"/>
  <c r="G661" i="1"/>
  <c r="F338" i="1"/>
  <c r="F352" i="1" s="1"/>
  <c r="H662" i="1"/>
  <c r="E119" i="2"/>
  <c r="L328" i="1"/>
  <c r="G338" i="1"/>
  <c r="G352" i="1" s="1"/>
  <c r="E109" i="2"/>
  <c r="H338" i="1"/>
  <c r="H352" i="1" s="1"/>
  <c r="C132" i="2"/>
  <c r="L270" i="1"/>
  <c r="H647" i="1"/>
  <c r="G651" i="1"/>
  <c r="J651" i="1" s="1"/>
  <c r="D7" i="13"/>
  <c r="C7" i="13" s="1"/>
  <c r="C16" i="10"/>
  <c r="C111" i="2"/>
  <c r="L247" i="1"/>
  <c r="C110" i="2"/>
  <c r="C10" i="10"/>
  <c r="C109" i="2"/>
  <c r="C20" i="10"/>
  <c r="C18" i="10"/>
  <c r="C17" i="10"/>
  <c r="C119" i="2"/>
  <c r="D6" i="13"/>
  <c r="C6" i="13" s="1"/>
  <c r="I257" i="1"/>
  <c r="I271" i="1" s="1"/>
  <c r="C11" i="10"/>
  <c r="G257" i="1"/>
  <c r="G271" i="1" s="1"/>
  <c r="L229" i="1"/>
  <c r="F257" i="1"/>
  <c r="F271" i="1" s="1"/>
  <c r="C125" i="2"/>
  <c r="J257" i="1"/>
  <c r="J271" i="1" s="1"/>
  <c r="D14" i="13"/>
  <c r="C14" i="13" s="1"/>
  <c r="C123" i="2"/>
  <c r="K257" i="1"/>
  <c r="K271" i="1" s="1"/>
  <c r="C15" i="10"/>
  <c r="C13" i="10"/>
  <c r="C112" i="2"/>
  <c r="A40" i="12"/>
  <c r="H257" i="1"/>
  <c r="H271" i="1" s="1"/>
  <c r="A13" i="12"/>
  <c r="L211" i="1"/>
  <c r="F192" i="1"/>
  <c r="H169" i="1"/>
  <c r="H193" i="1" s="1"/>
  <c r="G629" i="1" s="1"/>
  <c r="J629" i="1" s="1"/>
  <c r="E78" i="2"/>
  <c r="E81" i="2" s="1"/>
  <c r="D81" i="2"/>
  <c r="C70" i="2"/>
  <c r="H112" i="1"/>
  <c r="F112" i="1"/>
  <c r="D62" i="2"/>
  <c r="D63" i="2" s="1"/>
  <c r="J625" i="1"/>
  <c r="D31" i="2"/>
  <c r="D51" i="2" s="1"/>
  <c r="D18" i="2"/>
  <c r="C18" i="2"/>
  <c r="F18" i="2"/>
  <c r="J617" i="1"/>
  <c r="E63" i="2"/>
  <c r="L382" i="1"/>
  <c r="G636" i="1" s="1"/>
  <c r="J636" i="1" s="1"/>
  <c r="E118" i="2"/>
  <c r="L544" i="1"/>
  <c r="D127" i="2"/>
  <c r="D128" i="2" s="1"/>
  <c r="D145" i="2" s="1"/>
  <c r="C57" i="2"/>
  <c r="C62" i="2" s="1"/>
  <c r="C63" i="2" s="1"/>
  <c r="E112" i="2"/>
  <c r="C21" i="10"/>
  <c r="C12" i="10"/>
  <c r="E16" i="13"/>
  <c r="H25" i="13"/>
  <c r="H552" i="1"/>
  <c r="K500" i="1"/>
  <c r="I452" i="1"/>
  <c r="I461" i="1" s="1"/>
  <c r="H642" i="1" s="1"/>
  <c r="I52" i="1"/>
  <c r="H620" i="1" s="1"/>
  <c r="J620" i="1" s="1"/>
  <c r="C121" i="2"/>
  <c r="C78" i="2"/>
  <c r="C81" i="2" s="1"/>
  <c r="E56" i="2"/>
  <c r="K503" i="1"/>
  <c r="D15" i="13"/>
  <c r="C15" i="13" s="1"/>
  <c r="C29" i="10"/>
  <c r="D29" i="13"/>
  <c r="C29" i="13" s="1"/>
  <c r="E8" i="13"/>
  <c r="C8" i="13" s="1"/>
  <c r="D12" i="13"/>
  <c r="C12" i="13" s="1"/>
  <c r="K338" i="1"/>
  <c r="K352" i="1" s="1"/>
  <c r="H52" i="1"/>
  <c r="H619" i="1" s="1"/>
  <c r="J619" i="1" s="1"/>
  <c r="C32" i="10"/>
  <c r="L309" i="1"/>
  <c r="G649" i="1"/>
  <c r="J649" i="1" s="1"/>
  <c r="L524" i="1"/>
  <c r="J338" i="1"/>
  <c r="J352" i="1" s="1"/>
  <c r="C124" i="2"/>
  <c r="C120" i="2"/>
  <c r="L290" i="1"/>
  <c r="F662" i="1"/>
  <c r="L614" i="1"/>
  <c r="D5" i="13"/>
  <c r="C5" i="13" s="1"/>
  <c r="G112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G63" i="2"/>
  <c r="G104" i="2" s="1"/>
  <c r="J618" i="1"/>
  <c r="G42" i="2"/>
  <c r="G50" i="2" s="1"/>
  <c r="G51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J642" i="1" l="1"/>
  <c r="C141" i="2"/>
  <c r="C144" i="2" s="1"/>
  <c r="K552" i="1"/>
  <c r="L545" i="1"/>
  <c r="J647" i="1"/>
  <c r="I661" i="1"/>
  <c r="C27" i="10"/>
  <c r="C28" i="10" s="1"/>
  <c r="D12" i="10" s="1"/>
  <c r="I662" i="1"/>
  <c r="E128" i="2"/>
  <c r="L338" i="1"/>
  <c r="L352" i="1" s="1"/>
  <c r="G633" i="1" s="1"/>
  <c r="J633" i="1" s="1"/>
  <c r="H660" i="1"/>
  <c r="H664" i="1" s="1"/>
  <c r="H667" i="1" s="1"/>
  <c r="E115" i="2"/>
  <c r="G660" i="1"/>
  <c r="G664" i="1" s="1"/>
  <c r="G667" i="1" s="1"/>
  <c r="D31" i="13"/>
  <c r="C31" i="13" s="1"/>
  <c r="C115" i="2"/>
  <c r="L257" i="1"/>
  <c r="L271" i="1" s="1"/>
  <c r="G632" i="1" s="1"/>
  <c r="J632" i="1" s="1"/>
  <c r="H648" i="1"/>
  <c r="J648" i="1" s="1"/>
  <c r="C128" i="2"/>
  <c r="F660" i="1"/>
  <c r="F664" i="1" s="1"/>
  <c r="F104" i="2"/>
  <c r="I193" i="1"/>
  <c r="G630" i="1" s="1"/>
  <c r="J630" i="1" s="1"/>
  <c r="C39" i="10"/>
  <c r="E104" i="2"/>
  <c r="C104" i="2"/>
  <c r="C36" i="10"/>
  <c r="F193" i="1"/>
  <c r="G627" i="1" s="1"/>
  <c r="J627" i="1" s="1"/>
  <c r="D104" i="2"/>
  <c r="F51" i="2"/>
  <c r="C25" i="13"/>
  <c r="H33" i="13"/>
  <c r="E33" i="13"/>
  <c r="D35" i="13" s="1"/>
  <c r="C16" i="13"/>
  <c r="L408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H672" i="1"/>
  <c r="C6" i="10" s="1"/>
  <c r="G672" i="1"/>
  <c r="C5" i="10" s="1"/>
  <c r="D33" i="13"/>
  <c r="D36" i="13" s="1"/>
  <c r="C145" i="2"/>
  <c r="I660" i="1"/>
  <c r="I664" i="1" s="1"/>
  <c r="I672" i="1" s="1"/>
  <c r="C7" i="10" s="1"/>
  <c r="D26" i="10"/>
  <c r="D16" i="10"/>
  <c r="D15" i="10"/>
  <c r="D19" i="10"/>
  <c r="D11" i="10"/>
  <c r="D22" i="10"/>
  <c r="D27" i="10"/>
  <c r="D24" i="10"/>
  <c r="D10" i="10"/>
  <c r="D20" i="10"/>
  <c r="D25" i="10"/>
  <c r="D21" i="10"/>
  <c r="D17" i="10"/>
  <c r="C30" i="10"/>
  <c r="D23" i="10"/>
  <c r="D13" i="10"/>
  <c r="G637" i="1"/>
  <c r="J637" i="1" s="1"/>
  <c r="H646" i="1"/>
  <c r="J646" i="1" s="1"/>
  <c r="F672" i="1"/>
  <c r="C4" i="10" s="1"/>
  <c r="F667" i="1"/>
  <c r="D18" i="10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<sst xmlns="http://schemas.openxmlformats.org/spreadsheetml/2006/main" count="3967" uniqueCount="923">
  <si>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</si>
  <si>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</si>
  <si>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</si>
  <si>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</si>
  <si>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</si>
  <si>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</si>
  <si>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</si>
  <si>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</si>
  <si>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</si>
  <si>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</si>
  <si>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</si>
  <si>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</si>
  <si>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</si>
  <si>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</si>
  <si>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</si>
  <si>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</si>
  <si>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</si>
  <si>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</si>
  <si>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</si>
  <si>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</si>
  <si>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</si>
  <si>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</si>
  <si>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</si>
  <si>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</si>
  <si>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</si>
  <si>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</si>
  <si>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</si>
  <si>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</si>
  <si>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</si>
  <si>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</si>
  <si>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</si>
  <si>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</si>
  <si>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</si>
  <si>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</si>
  <si>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</si>
  <si>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</si>
  <si>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</si>
  <si>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</si>
  <si>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</si>
  <si>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</si>
  <si>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</si>
  <si>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</si>
  <si>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</si>
  <si>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</si>
  <si>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</si>
  <si>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</si>
  <si>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</si>
  <si>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</si>
  <si>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</si>
  <si>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</si>
  <si>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</si>
  <si>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</si>
  <si>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</si>
  <si>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</si>
  <si>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</si>
  <si>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</si>
  <si>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</si>
  <si>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</si>
  <si>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</si>
  <si>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</si>
  <si>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</si>
  <si>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</si>
  <si>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</si>
  <si>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</si>
  <si>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</si>
  <si>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</si>
  <si>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</si>
  <si>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</si>
  <si>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</si>
  <si>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</si>
  <si>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</si>
  <si>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</si>
  <si>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</si>
  <si>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</si>
  <si>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</si>
  <si>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</si>
  <si>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</si>
  <si>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</si>
  <si>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</si>
  <si>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</si>
  <si>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</si>
  <si>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</si>
  <si>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</si>
  <si>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</si>
  <si>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</si>
  <si>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</si>
  <si>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</si>
  <si>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</si>
  <si>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</si>
  <si>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</si>
  <si>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</si>
  <si>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</si>
  <si>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</si>
  <si>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</si>
  <si>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</si>
  <si>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</si>
  <si>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</si>
  <si>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</si>
  <si>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</si>
  <si>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</si>
  <si>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</si>
  <si>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</si>
  <si>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</si>
  <si>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</si>
  <si>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</si>
  <si>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</si>
  <si>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</si>
  <si>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</si>
  <si>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</si>
  <si>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</si>
  <si>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</si>
  <si>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</si>
  <si>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</si>
  <si>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</si>
  <si>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</si>
  <si>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</si>
  <si>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</si>
  <si>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</si>
  <si>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</si>
  <si>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</si>
  <si>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</si>
  <si>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</si>
  <si>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</si>
  <si>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</si>
  <si>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</si>
  <si>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</si>
  <si>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</si>
  <si>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</si>
  <si>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</si>
  <si>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</si>
  <si>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</si>
  <si>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</si>
  <si>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</si>
  <si>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</si>
  <si>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</si>
  <si>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</si>
  <si>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</si>
  <si>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</si>
  <si>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</si>
  <si>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</si>
  <si>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</si>
  <si>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</si>
  <si>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</si>
  <si>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</si>
  <si>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</si>
  <si>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</si>
  <si>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</si>
  <si>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</si>
  <si>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</si>
  <si>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</si>
  <si>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</si>
  <si>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</si>
  <si>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</si>
  <si>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</si>
  <si>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</si>
  <si>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</si>
  <si>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</si>
  <si>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</si>
  <si>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</si>
  <si>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</si>
  <si>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</si>
  <si>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</si>
  <si>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</si>
  <si>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</si>
  <si>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</si>
  <si>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</si>
  <si>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</si>
  <si>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</si>
  <si>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</si>
  <si>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</si>
  <si>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</si>
  <si>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</si>
  <si>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</si>
  <si>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</si>
  <si>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</si>
  <si>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</si>
  <si>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</si>
  <si>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</si>
  <si>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</si>
  <si>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</si>
  <si>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</si>
  <si>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</si>
  <si>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</si>
  <si>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</si>
  <si>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</si>
  <si>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</si>
  <si>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</si>
  <si>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</si>
  <si>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</si>
  <si>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</si>
  <si>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</si>
  <si>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</si>
  <si>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</si>
  <si>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</si>
  <si>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</si>
  <si>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</si>
  <si>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</si>
  <si>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</si>
  <si>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</si>
  <si>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</si>
  <si>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</si>
  <si>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</si>
  <si>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</si>
  <si>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</si>
  <si>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</si>
  <si>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</si>
  <si>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</si>
  <si>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</si>
  <si>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</si>
  <si>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</si>
  <si>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</si>
  <si>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</si>
  <si>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</si>
  <si>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</si>
  <si>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</si>
  <si>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</si>
  <si>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</si>
  <si>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</si>
  <si>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</si>
  <si>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</si>
  <si>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</si>
  <si>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</si>
  <si>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</si>
  <si>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</si>
  <si>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</si>
  <si>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</si>
  <si>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</si>
  <si>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</si>
  <si>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</si>
  <si>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</si>
  <si>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</si>
  <si>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</si>
  <si>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</si>
  <si>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</si>
  <si>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</si>
  <si>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</si>
  <si>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</si>
  <si>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</si>
  <si>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</si>
  <si>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</si>
  <si>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</si>
  <si>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</si>
  <si>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</si>
  <si>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</si>
  <si>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</si>
  <si>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</si>
  <si>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</si>
  <si>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</si>
  <si>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</si>
  <si>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</si>
  <si>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</si>
  <si>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</si>
  <si>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</si>
  <si>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</si>
  <si>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</si>
  <si>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</si>
  <si>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</si>
  <si>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</si>
  <si>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</si>
  <si>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</si>
  <si>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</si>
  <si>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</si>
  <si>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</si>
  <si>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</si>
  <si>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</si>
  <si>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</si>
  <si>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</si>
  <si>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</si>
  <si>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</si>
  <si>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</si>
  <si>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</si>
  <si>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</si>
  <si>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</si>
  <si>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</si>
  <si>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</si>
  <si>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</si>
  <si>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</si>
  <si>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</si>
  <si>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</si>
  <si>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</si>
  <si>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</si>
  <si>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</si>
  <si>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</si>
  <si>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</si>
  <si>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</si>
  <si>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</si>
  <si>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</si>
  <si>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</si>
  <si>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</si>
  <si>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</si>
  <si>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</si>
  <si>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</si>
  <si>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</si>
  <si>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</si>
  <si>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</si>
  <si>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</si>
  <si>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</si>
  <si>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</si>
  <si>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</si>
  <si>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</si>
  <si>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</si>
  <si>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</si>
  <si>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</si>
  <si>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</si>
  <si>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</si>
  <si>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</si>
  <si>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</si>
  <si>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</si>
  <si>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</si>
  <si>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</si>
  <si>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</si>
  <si>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</si>
  <si>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</si>
  <si>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</si>
  <si>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</si>
  <si>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</si>
  <si>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</si>
  <si>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</si>
  <si>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</si>
  <si>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</si>
  <si>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</si>
  <si>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</si>
  <si>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</si>
  <si>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</si>
  <si>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</si>
  <si>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</si>
  <si>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</si>
  <si>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</si>
  <si>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</si>
  <si>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</si>
  <si>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</si>
  <si>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</si>
  <si>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</si>
  <si>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</si>
  <si>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</si>
  <si>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</si>
  <si>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</si>
  <si>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</si>
  <si>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</si>
  <si>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</si>
  <si>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</si>
  <si>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</si>
  <si>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</si>
  <si>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</si>
  <si>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</si>
  <si>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</si>
  <si>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</si>
  <si>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</si>
  <si>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</si>
  <si>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</si>
  <si>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</si>
  <si>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</si>
  <si>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</si>
  <si>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</si>
  <si>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</si>
  <si>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</si>
  <si>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</si>
  <si>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</si>
  <si>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</si>
  <si>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</si>
  <si>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</si>
  <si>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</si>
  <si>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</si>
  <si>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</si>
  <si>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</si>
  <si>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</si>
  <si>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</si>
  <si>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</si>
  <si>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</si>
  <si>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</si>
  <si>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</si>
  <si>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</si>
  <si>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</si>
  <si>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</si>
  <si>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</si>
  <si>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</si>
  <si>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</si>
  <si>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</si>
  <si>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</si>
  <si>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</si>
  <si>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</si>
  <si>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</si>
  <si>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</si>
  <si>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</si>
  <si>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</si>
  <si>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</si>
  <si>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</si>
  <si>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</si>
  <si>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</si>
  <si>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</si>
  <si>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</si>
  <si>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</si>
  <si>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</si>
  <si>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</si>
  <si>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</si>
  <si>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</si>
  <si>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</si>
  <si>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</si>
  <si>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</si>
  <si>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</si>
  <si>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</si>
  <si>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</si>
  <si>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</si>
  <si>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</si>
  <si>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</si>
  <si>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</si>
  <si>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</si>
  <si>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</si>
  <si>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</si>
  <si>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</si>
  <si>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</si>
  <si>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</si>
  <si>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</si>
  <si>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</si>
  <si>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</si>
  <si>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</si>
  <si>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</si>
  <si>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</si>
  <si>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</si>
  <si>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</si>
  <si>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</si>
  <si>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</si>
  <si>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</si>
  <si>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</si>
  <si>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</si>
  <si>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</si>
  <si>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</si>
  <si>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</si>
  <si>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</si>
  <si>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</si>
  <si>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</si>
  <si>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</si>
  <si>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</si>
  <si>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</si>
  <si>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</si>
  <si>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</si>
  <si>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</si>
  <si>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</si>
  <si>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</si>
  <si>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</si>
  <si>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</si>
  <si>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</si>
  <si>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</si>
  <si>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</si>
  <si>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</si>
  <si>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</si>
  <si>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</si>
  <si>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</si>
  <si>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</si>
  <si>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</si>
  <si>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</si>
  <si>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</si>
  <si>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</si>
  <si>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</si>
  <si>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</si>
  <si>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</si>
  <si>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</si>
  <si>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</si>
  <si>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</si>
  <si>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</si>
  <si>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</si>
  <si>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</si>
  <si>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</si>
  <si>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</si>
  <si>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</si>
  <si>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</si>
  <si>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</si>
  <si>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</si>
  <si>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</si>
  <si>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</si>
  <si>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</si>
  <si>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</si>
  <si>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</si>
  <si>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</si>
  <si>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</si>
  <si>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</si>
  <si>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</si>
  <si>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</si>
  <si>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</si>
  <si>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</si>
  <si>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</si>
  <si>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</si>
  <si>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</si>
  <si>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</si>
  <si>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</si>
  <si>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</si>
  <si>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</si>
  <si>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</si>
  <si>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</si>
  <si>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</si>
  <si>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</si>
  <si>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</si>
  <si>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</si>
  <si>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</si>
  <si>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</si>
  <si>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</si>
  <si>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</si>
  <si>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</si>
  <si>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</si>
  <si>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</si>
  <si>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</si>
  <si>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</si>
  <si>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</si>
  <si>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</si>
  <si>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</si>
  <si>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</si>
  <si>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</si>
  <si>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</si>
  <si>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</si>
  <si>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</si>
  <si>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</si>
  <si>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</si>
  <si>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</si>
  <si>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</si>
  <si>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</si>
  <si>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</si>
  <si>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</si>
  <si>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</si>
  <si>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</si>
  <si>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</si>
  <si>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</si>
  <si>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</si>
  <si>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</si>
  <si>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</si>
  <si>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</si>
  <si>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</si>
  <si>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</si>
  <si>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</si>
  <si>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</si>
  <si>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</si>
  <si>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</si>
  <si>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</si>
  <si>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</si>
  <si>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</si>
  <si>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</si>
  <si>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</si>
  <si>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</si>
  <si>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</si>
  <si>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</si>
  <si>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</si>
  <si>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</si>
  <si>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</si>
  <si>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</si>
  <si>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</si>
  <si>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</si>
  <si>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</si>
  <si>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</si>
  <si>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</si>
  <si>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</si>
  <si>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</si>
  <si>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</si>
  <si>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</si>
  <si>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</si>
  <si>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</si>
  <si>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</si>
  <si>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</si>
  <si>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</si>
  <si>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</si>
  <si>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</si>
  <si>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</si>
  <si>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</si>
  <si>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</si>
  <si>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</si>
  <si>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</si>
  <si>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</si>
  <si>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</si>
  <si>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</si>
  <si>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</si>
  <si>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</si>
  <si>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</si>
  <si>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</si>
  <si>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</si>
  <si>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</si>
  <si>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</si>
  <si>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</si>
  <si>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</si>
  <si>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</si>
  <si>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</si>
  <si>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</si>
  <si>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</si>
  <si>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</si>
  <si>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</si>
  <si>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</si>
  <si>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</si>
  <si>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</si>
  <si>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</si>
  <si>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</si>
  <si>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</si>
  <si>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</si>
  <si>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</si>
  <si>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</si>
  <si>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</si>
  <si>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</si>
  <si>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</si>
  <si>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</si>
  <si>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</si>
  <si>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</si>
  <si>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</si>
  <si>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</si>
  <si>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</si>
  <si>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</si>
  <si>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</si>
  <si>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</si>
  <si>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</si>
  <si>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</si>
  <si>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</si>
  <si>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</si>
  <si>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</si>
  <si>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</si>
  <si>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</si>
  <si>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</si>
  <si>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</si>
  <si>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</si>
  <si>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</si>
  <si>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</si>
  <si>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</si>
  <si>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</si>
  <si>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</si>
  <si>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</si>
  <si>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</si>
  <si>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</si>
  <si>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</si>
  <si>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</si>
  <si>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</si>
  <si>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</si>
  <si>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</si>
  <si>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</si>
  <si>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</si>
  <si>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</si>
  <si>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</si>
  <si>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</si>
  <si>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</si>
  <si>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</si>
  <si>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</si>
  <si>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</si>
  <si>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</si>
  <si>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</si>
  <si>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</si>
  <si>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</si>
  <si>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</si>
  <si>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</si>
  <si>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</si>
  <si>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</si>
  <si>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</si>
  <si>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</si>
  <si>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</si>
  <si>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</si>
  <si>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</si>
  <si>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</si>
  <si>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</si>
  <si>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</si>
  <si>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</si>
  <si>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</si>
  <si>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</si>
  <si>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</si>
  <si>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</si>
  <si>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</si>
  <si>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</si>
  <si>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</si>
  <si>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</si>
  <si>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</si>
  <si>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</si>
  <si>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</si>
  <si>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</si>
  <si>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</si>
  <si>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</si>
  <si>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</si>
  <si>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</si>
  <si>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</si>
  <si>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</si>
  <si>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</si>
  <si>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</si>
  <si>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</si>
  <si>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</si>
  <si>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</si>
  <si>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</si>
  <si>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</si>
  <si>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</si>
  <si>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</si>
  <si>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</si>
  <si>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</si>
  <si>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</si>
  <si>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</si>
  <si>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</si>
  <si>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</si>
  <si>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</si>
  <si>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</si>
  <si>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</si>
  <si>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</si>
  <si>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</si>
  <si>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</si>
  <si>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</si>
  <si>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</si>
  <si>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</si>
  <si>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</si>
  <si>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</si>
  <si>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</si>
  <si>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</si>
  <si>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</si>
  <si>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</si>
  <si>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</si>
  <si>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</si>
  <si>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</si>
  <si>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</si>
  <si>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</si>
  <si>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</si>
  <si>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</si>
  <si>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</si>
  <si>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</si>
  <si>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</si>
  <si>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</si>
  <si>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</si>
  <si>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</si>
  <si>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</si>
  <si>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</si>
  <si>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</si>
  <si>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</si>
  <si>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</si>
  <si>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</si>
  <si>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</si>
  <si>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</si>
  <si>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</si>
  <si>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</si>
  <si>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</si>
  <si>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</si>
  <si>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</si>
  <si>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</si>
  <si>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</si>
  <si>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</si>
  <si>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</si>
  <si>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</si>
  <si>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</si>
  <si>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</si>
  <si>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</si>
  <si>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</si>
  <si>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</si>
  <si>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</si>
  <si>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</si>
  <si>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</si>
  <si>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</si>
  <si>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</si>
  <si>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</si>
  <si>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</si>
  <si>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</si>
  <si>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</si>
  <si>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</si>
  <si>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</si>
  <si>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</si>
  <si>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</si>
  <si>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</si>
  <si>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</si>
  <si>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</si>
  <si>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</si>
  <si>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</si>
  <si>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</si>
  <si>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</si>
  <si>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</si>
  <si>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</si>
  <si>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</si>
  <si>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</si>
  <si>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</si>
  <si>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</si>
  <si>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</si>
  <si>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</si>
  <si>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</si>
  <si>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</si>
  <si>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</si>
  <si>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</si>
  <si>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</si>
  <si>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</si>
  <si>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</si>
  <si>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</si>
  <si>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</si>
  <si>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</si>
  <si>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</si>
  <si>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</si>
  <si>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</si>
  <si>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</si>
  <si>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</si>
  <si>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</si>
  <si>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</si>
  <si>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</si>
  <si>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</si>
  <si>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</si>
  <si>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</si>
  <si>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</si>
  <si>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</si>
  <si>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</si>
  <si>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</si>
  <si>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</si>
  <si>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</si>
  <si>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</si>
  <si>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</si>
  <si>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</si>
  <si>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</si>
  <si>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</si>
  <si>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</si>
  <si>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</si>
  <si>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</si>
  <si>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</si>
  <si>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</si>
  <si>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</si>
  <si>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</si>
  <si>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</si>
  <si>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</si>
  <si>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</si>
  <si>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</si>
  <si>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</si>
  <si>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</si>
  <si>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</si>
  <si>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</si>
  <si>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</si>
  <si>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</si>
  <si>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</si>
  <si>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</si>
  <si>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</si>
  <si>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</si>
  <si>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</si>
  <si>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</si>
  <si>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</si>
  <si>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</si>
  <si>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</si>
  <si>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</si>
  <si>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</si>
  <si>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</si>
  <si>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</si>
  <si>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</si>
  <si>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</si>
  <si>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</si>
  <si>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</si>
  <si>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</si>
  <si>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</si>
  <si>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</si>
  <si>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</si>
  <si>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</si>
  <si>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</si>
  <si>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</si>
  <si>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</si>
  <si>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</si>
  <si>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</si>
  <si>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</si>
  <si>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</si>
  <si>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</si>
  <si>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</si>
  <si>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</si>
  <si>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</si>
  <si>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</si>
  <si>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</si>
  <si>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</si>
  <si>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</si>
  <si>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</si>
  <si>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</si>
  <si>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</si>
  <si>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</si>
  <si>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</si>
  <si>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</si>
  <si>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</si>
  <si>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</si>
  <si>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</si>
  <si>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</si>
  <si>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</si>
  <si>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</si>
  <si>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</si>
  <si>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</si>
  <si>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</si>
  <si>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</si>
  <si>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</si>
  <si>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</si>
  <si>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</si>
  <si>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</si>
  <si>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</si>
  <si>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</si>
  <si>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</si>
  <si>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</si>
  <si>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</si>
  <si>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</si>
  <si>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</si>
  <si>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</si>
  <si>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</si>
  <si>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</si>
  <si>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</si>
  <si>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</si>
  <si>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</si>
  <si>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</si>
  <si>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</si>
  <si>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</si>
  <si>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</si>
  <si>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</si>
  <si>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</si>
  <si>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</si>
  <si>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</si>
  <si>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</si>
  <si>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</si>
  <si>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</si>
  <si>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</si>
  <si>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</si>
  <si>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</si>
  <si>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</si>
  <si>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</si>
  <si>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</si>
  <si>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</si>
  <si>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</si>
  <si>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</si>
  <si>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</si>
  <si>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</si>
  <si>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</si>
  <si>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</si>
  <si>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</si>
  <si>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</si>
  <si>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</si>
  <si>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</si>
  <si>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</si>
  <si>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 xml:space="preserve">               CONWAY SCHOOL DISTRICT</t>
  </si>
  <si>
    <t>12/03</t>
  </si>
  <si>
    <t>1/2024</t>
  </si>
  <si>
    <t>7/16</t>
  </si>
  <si>
    <t>6/2037</t>
  </si>
  <si>
    <t>7/17</t>
  </si>
  <si>
    <t>6/18</t>
  </si>
  <si>
    <t>8/2037</t>
  </si>
  <si>
    <t>8/2038</t>
  </si>
  <si>
    <t>Food Service - Increase Inventory</t>
  </si>
  <si>
    <t xml:space="preserve">   SEIDENSTUECKER EXP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</si>
</sst>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5" sqref="H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113</v>
      </c>
      <c r="C2" s="21">
        <v>113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2490110.57+450</f>
        <v>2490560.5699999998</v>
      </c>
      <c r="G9" s="18">
        <v>221543.42</v>
      </c>
      <c r="H9" s="18">
        <v>0</v>
      </c>
      <c r="I9" s="18">
        <v>0</v>
      </c>
      <c r="J9" s="67">
        <f>SUM(I439)</f>
        <v>1610709.1600000001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769921.74</v>
      </c>
      <c r="G12" s="18">
        <v>178489.48</v>
      </c>
      <c r="H12" s="18"/>
      <c r="I12" s="18">
        <v>1354165.05</v>
      </c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252662.44</v>
      </c>
      <c r="G13" s="18">
        <v>78166.77</v>
      </c>
      <c r="H13" s="18">
        <v>491127.21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30850.25</v>
      </c>
      <c r="G14" s="18">
        <v>2078.77</v>
      </c>
      <c r="H14" s="18">
        <v>6648.86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39167.69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2531.6999999999998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3546526.6999999997</v>
      </c>
      <c r="G19" s="41">
        <f>SUM(G9:G18)</f>
        <v>519446.13000000006</v>
      </c>
      <c r="H19" s="41">
        <f>SUM(H9:H18)</f>
        <v>497776.07</v>
      </c>
      <c r="I19" s="41">
        <f>SUM(I9:I18)</f>
        <v>1354165.05</v>
      </c>
      <c r="J19" s="41">
        <f>SUM(J9:J18)</f>
        <v>1610709.1600000001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1532654.53</v>
      </c>
      <c r="G22" s="18">
        <v>456467.05</v>
      </c>
      <c r="H22" s="18">
        <v>290565.07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42744.87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f>30353.82-1500.43</f>
        <v>28853.39</v>
      </c>
      <c r="G28" s="18">
        <v>23811.39</v>
      </c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1604252.79</v>
      </c>
      <c r="G32" s="41">
        <f>SUM(G22:G31)</f>
        <v>480278.44</v>
      </c>
      <c r="H32" s="41">
        <f>SUM(H22:H31)</f>
        <v>290565.07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39167.69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229349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207211</v>
      </c>
      <c r="I48" s="18">
        <v>1354165.05</v>
      </c>
      <c r="J48" s="13">
        <f>SUM(I459)</f>
        <v>1610709.1600000001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1712924.91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1942273.91</v>
      </c>
      <c r="G51" s="41">
        <f>SUM(G35:G50)</f>
        <v>39167.69</v>
      </c>
      <c r="H51" s="41">
        <f>SUM(H35:H50)</f>
        <v>207211</v>
      </c>
      <c r="I51" s="41">
        <f>SUM(I35:I50)</f>
        <v>1354165.05</v>
      </c>
      <c r="J51" s="41">
        <f>SUM(J35:J50)</f>
        <v>1610709.1600000001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3546526.7</v>
      </c>
      <c r="G52" s="41">
        <f>G51+G32</f>
        <v>519446.13</v>
      </c>
      <c r="H52" s="41">
        <f>H51+H32</f>
        <v>497776.07</v>
      </c>
      <c r="I52" s="41">
        <f>I51+I32</f>
        <v>1354165.05</v>
      </c>
      <c r="J52" s="41">
        <f>J51+J32</f>
        <v>1610709.1600000001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14929044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14929044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9788337.8399999999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9788337.8399999999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47591.32</v>
      </c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47591.32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5550.81</v>
      </c>
      <c r="G96" s="18"/>
      <c r="H96" s="18"/>
      <c r="I96" s="18"/>
      <c r="J96" s="18">
        <v>10627.41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249106.18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38986.25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3100</v>
      </c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396005.87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107904.27</v>
      </c>
      <c r="G110" s="18">
        <v>271.43</v>
      </c>
      <c r="H110" s="18">
        <v>206088.8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551547.19999999995</v>
      </c>
      <c r="G111" s="41">
        <f>SUM(G96:G110)</f>
        <v>249377.61</v>
      </c>
      <c r="H111" s="41">
        <f>SUM(H96:H110)</f>
        <v>206088.8</v>
      </c>
      <c r="I111" s="41">
        <f>SUM(I96:I110)</f>
        <v>0</v>
      </c>
      <c r="J111" s="41">
        <f>SUM(J96:J110)</f>
        <v>10627.41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25316520.359999999</v>
      </c>
      <c r="G112" s="41">
        <f>G60+G111</f>
        <v>249377.61</v>
      </c>
      <c r="H112" s="41">
        <f>H60+H79+H94+H111</f>
        <v>206088.8</v>
      </c>
      <c r="I112" s="41">
        <f>I60+I111</f>
        <v>0</v>
      </c>
      <c r="J112" s="41">
        <f>J60+J111</f>
        <v>10627.41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2998114.1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3418880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15434.81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6432428.9099999992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1060664.08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228025.88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>
        <v>4750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>
        <v>49469.99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7859.94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30431.31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1319121.27</v>
      </c>
      <c r="G136" s="41">
        <f>SUM(G123:G135)</f>
        <v>7859.94</v>
      </c>
      <c r="H136" s="41">
        <f>SUM(H123:H135)</f>
        <v>54219.99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7751550.1799999997</v>
      </c>
      <c r="G140" s="41">
        <f>G121+SUM(G136:G137)</f>
        <v>7859.94</v>
      </c>
      <c r="H140" s="41">
        <f>H121+SUM(H136:H139)</f>
        <v>54219.99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583356.4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417360.27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86844.93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318235.34000000003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312812.07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233243.7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233243.7</v>
      </c>
      <c r="G162" s="41">
        <f>SUM(G150:G161)</f>
        <v>318235.34000000003</v>
      </c>
      <c r="H162" s="41">
        <f>SUM(H150:H161)</f>
        <v>1400373.6700000002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765.25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234008.95</v>
      </c>
      <c r="G169" s="41">
        <f>G147+G162+SUM(G163:G168)</f>
        <v>318235.34000000003</v>
      </c>
      <c r="H169" s="41">
        <f>H147+H162+SUM(H163:H168)</f>
        <v>1400373.6700000002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>
        <v>2993900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>
        <v>306101</v>
      </c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3300001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178489.48</v>
      </c>
      <c r="H179" s="18"/>
      <c r="I179" s="18"/>
      <c r="J179" s="18">
        <v>81429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178489.48</v>
      </c>
      <c r="H183" s="41">
        <f>SUM(H179:H182)</f>
        <v>0</v>
      </c>
      <c r="I183" s="41">
        <f>SUM(I179:I182)</f>
        <v>0</v>
      </c>
      <c r="J183" s="41">
        <f>SUM(J179:J182)</f>
        <v>81429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22889.62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22889.62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22889.62</v>
      </c>
      <c r="G192" s="41">
        <f>G183+SUM(G188:G191)</f>
        <v>178489.48</v>
      </c>
      <c r="H192" s="41">
        <f>+H183+SUM(H188:H191)</f>
        <v>0</v>
      </c>
      <c r="I192" s="41">
        <f>I177+I183+SUM(I188:I191)</f>
        <v>3300001</v>
      </c>
      <c r="J192" s="41">
        <f>J183</f>
        <v>81429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33324969.109999999</v>
      </c>
      <c r="G193" s="47">
        <f>G112+G140+G169+G192</f>
        <v>753962.37</v>
      </c>
      <c r="H193" s="47">
        <f>H112+H140+H169+H192</f>
        <v>1660682.4600000002</v>
      </c>
      <c r="I193" s="47">
        <f>I112+I140+I169+I192</f>
        <v>3300001</v>
      </c>
      <c r="J193" s="47">
        <f>J112+J140+J192</f>
        <v>92056.41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2709464.12+137542.4</f>
        <v>2847006.52</v>
      </c>
      <c r="G197" s="18">
        <f>1682362.07+696511.81</f>
        <v>2378873.88</v>
      </c>
      <c r="H197" s="18">
        <v>13190.57</v>
      </c>
      <c r="I197" s="18">
        <v>160120.53</v>
      </c>
      <c r="J197" s="18">
        <v>141422.18</v>
      </c>
      <c r="K197" s="18"/>
      <c r="L197" s="19">
        <f>SUM(F197:K197)</f>
        <v>5540613.6800000006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1259151.1100000001</v>
      </c>
      <c r="G198" s="18">
        <v>980546.91</v>
      </c>
      <c r="H198" s="18">
        <v>716216.68</v>
      </c>
      <c r="I198" s="18">
        <v>1924.9</v>
      </c>
      <c r="J198" s="18"/>
      <c r="K198" s="18"/>
      <c r="L198" s="19">
        <f>SUM(F198:K198)</f>
        <v>2957839.6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19337.62</v>
      </c>
      <c r="G200" s="18">
        <v>1976.69</v>
      </c>
      <c r="H200" s="18">
        <v>4480.5600000000004</v>
      </c>
      <c r="I200" s="18">
        <v>195.2</v>
      </c>
      <c r="J200" s="18"/>
      <c r="K200" s="18"/>
      <c r="L200" s="19">
        <f>SUM(F200:K200)</f>
        <v>25990.07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569226.07999999996</v>
      </c>
      <c r="G202" s="18">
        <v>386250.07</v>
      </c>
      <c r="H202" s="18">
        <v>71669.33</v>
      </c>
      <c r="I202" s="18">
        <v>6227.25</v>
      </c>
      <c r="J202" s="18">
        <v>3270.05</v>
      </c>
      <c r="K202" s="18"/>
      <c r="L202" s="19">
        <f t="shared" ref="L202:L208" si="0">SUM(F202:K202)</f>
        <v>1036642.7799999999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113797.5</v>
      </c>
      <c r="G203" s="18">
        <v>103754.03</v>
      </c>
      <c r="H203" s="18">
        <v>34625.410000000003</v>
      </c>
      <c r="I203" s="18">
        <v>29015.43</v>
      </c>
      <c r="J203" s="18">
        <v>1832.97</v>
      </c>
      <c r="K203" s="18"/>
      <c r="L203" s="19">
        <f t="shared" si="0"/>
        <v>283025.33999999997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8875.0300000000007</v>
      </c>
      <c r="G204" s="18">
        <v>678.98</v>
      </c>
      <c r="H204" s="18">
        <v>514328.06</v>
      </c>
      <c r="I204" s="18">
        <v>2032.11</v>
      </c>
      <c r="J204" s="18"/>
      <c r="K204" s="18">
        <v>2263.0700000000002</v>
      </c>
      <c r="L204" s="19">
        <f t="shared" si="0"/>
        <v>528177.25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363171.99</v>
      </c>
      <c r="G205" s="18">
        <v>178345.12</v>
      </c>
      <c r="H205" s="18">
        <v>61357.85</v>
      </c>
      <c r="I205" s="18">
        <v>2627.12</v>
      </c>
      <c r="J205" s="18">
        <v>4236.37</v>
      </c>
      <c r="K205" s="18">
        <v>2857</v>
      </c>
      <c r="L205" s="19">
        <f t="shared" si="0"/>
        <v>612595.44999999995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301740.53000000003</v>
      </c>
      <c r="G207" s="18">
        <v>176360.82</v>
      </c>
      <c r="H207" s="18">
        <v>385628.73</v>
      </c>
      <c r="I207" s="18">
        <v>229282.23</v>
      </c>
      <c r="J207" s="18">
        <v>66278.62</v>
      </c>
      <c r="K207" s="18"/>
      <c r="L207" s="19">
        <f t="shared" si="0"/>
        <v>1159290.9300000002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160320.51999999999</v>
      </c>
      <c r="G208" s="18">
        <v>70543.69</v>
      </c>
      <c r="H208" s="18">
        <v>50615.23</v>
      </c>
      <c r="I208" s="18">
        <v>39791.230000000003</v>
      </c>
      <c r="J208" s="18">
        <v>35164</v>
      </c>
      <c r="K208" s="18"/>
      <c r="L208" s="19">
        <f t="shared" si="0"/>
        <v>356434.67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v>1180.56</v>
      </c>
      <c r="I209" s="18"/>
      <c r="J209" s="18"/>
      <c r="K209" s="18"/>
      <c r="L209" s="19">
        <f>SUM(F209:K209)</f>
        <v>1180.56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5642626.9000000004</v>
      </c>
      <c r="G211" s="41">
        <f t="shared" si="1"/>
        <v>4277330.1900000004</v>
      </c>
      <c r="H211" s="41">
        <f t="shared" si="1"/>
        <v>1853292.9800000002</v>
      </c>
      <c r="I211" s="41">
        <f t="shared" si="1"/>
        <v>471216</v>
      </c>
      <c r="J211" s="41">
        <f t="shared" si="1"/>
        <v>252204.18999999997</v>
      </c>
      <c r="K211" s="41">
        <f t="shared" si="1"/>
        <v>5120.07</v>
      </c>
      <c r="L211" s="41">
        <f t="shared" si="1"/>
        <v>12501790.33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1180553.1+63808.84</f>
        <v>1244361.9400000002</v>
      </c>
      <c r="G215" s="18">
        <f>656409.22+278609.68</f>
        <v>935018.89999999991</v>
      </c>
      <c r="H215" s="18">
        <v>11731.4</v>
      </c>
      <c r="I215" s="18">
        <v>53822.16</v>
      </c>
      <c r="J215" s="18">
        <v>64022.12</v>
      </c>
      <c r="K215" s="18"/>
      <c r="L215" s="19">
        <f>SUM(F215:K215)</f>
        <v>2308956.52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501559.67</v>
      </c>
      <c r="G216" s="18">
        <v>358738.12</v>
      </c>
      <c r="H216" s="18">
        <v>87956.98</v>
      </c>
      <c r="I216" s="18">
        <v>5046.0200000000004</v>
      </c>
      <c r="J216" s="18"/>
      <c r="K216" s="18"/>
      <c r="L216" s="19">
        <f>SUM(F216:K216)</f>
        <v>953300.79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65259.199999999997</v>
      </c>
      <c r="G218" s="18">
        <v>9829.16</v>
      </c>
      <c r="H218" s="18">
        <v>14828.88</v>
      </c>
      <c r="I218" s="18">
        <v>7158.33</v>
      </c>
      <c r="J218" s="18">
        <v>2279.9499999999998</v>
      </c>
      <c r="K218" s="18">
        <v>1769.63</v>
      </c>
      <c r="L218" s="19">
        <f>SUM(F218:K218)</f>
        <v>101125.15000000001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164217.67000000001</v>
      </c>
      <c r="G220" s="18">
        <v>95792.1</v>
      </c>
      <c r="H220" s="18">
        <v>53823.33</v>
      </c>
      <c r="I220" s="18">
        <v>2523.9699999999998</v>
      </c>
      <c r="J220" s="18"/>
      <c r="K220" s="18">
        <v>129</v>
      </c>
      <c r="L220" s="19">
        <f t="shared" ref="L220:L226" si="2">SUM(F220:K220)</f>
        <v>316486.07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55657</v>
      </c>
      <c r="G221" s="18">
        <v>49302.01</v>
      </c>
      <c r="H221" s="18">
        <v>11612.78</v>
      </c>
      <c r="I221" s="18">
        <v>8698.36</v>
      </c>
      <c r="J221" s="18">
        <v>999.98</v>
      </c>
      <c r="K221" s="18">
        <v>140</v>
      </c>
      <c r="L221" s="19">
        <f t="shared" si="2"/>
        <v>126410.13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3541.38</v>
      </c>
      <c r="G222" s="18">
        <v>270.93</v>
      </c>
      <c r="H222" s="18">
        <v>205230.65</v>
      </c>
      <c r="I222" s="18">
        <v>810.87</v>
      </c>
      <c r="J222" s="18"/>
      <c r="K222" s="18">
        <v>903.03</v>
      </c>
      <c r="L222" s="19">
        <f t="shared" si="2"/>
        <v>210756.86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161014.69</v>
      </c>
      <c r="G223" s="18">
        <v>79613.100000000006</v>
      </c>
      <c r="H223" s="18">
        <v>30898.51</v>
      </c>
      <c r="I223" s="18">
        <v>2228.48</v>
      </c>
      <c r="J223" s="18">
        <v>1116.6300000000001</v>
      </c>
      <c r="K223" s="18">
        <v>2399</v>
      </c>
      <c r="L223" s="19">
        <f t="shared" si="2"/>
        <v>277270.40999999997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263305.5</v>
      </c>
      <c r="G225" s="18">
        <v>169704.46</v>
      </c>
      <c r="H225" s="18">
        <v>360454.59</v>
      </c>
      <c r="I225" s="18">
        <v>188187.59</v>
      </c>
      <c r="J225" s="18">
        <v>42971.3</v>
      </c>
      <c r="K225" s="18"/>
      <c r="L225" s="19">
        <f t="shared" si="2"/>
        <v>1024623.4400000001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49489.66</v>
      </c>
      <c r="G226" s="18">
        <v>24163.52</v>
      </c>
      <c r="H226" s="18">
        <v>35106.449999999997</v>
      </c>
      <c r="I226" s="18">
        <v>15877.76</v>
      </c>
      <c r="J226" s="18">
        <v>14031</v>
      </c>
      <c r="K226" s="18"/>
      <c r="L226" s="19">
        <f t="shared" si="2"/>
        <v>138668.39000000001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>
        <v>471.07</v>
      </c>
      <c r="I227" s="18"/>
      <c r="J227" s="18"/>
      <c r="K227" s="18"/>
      <c r="L227" s="19">
        <f>SUM(F227:K227)</f>
        <v>471.07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2508406.71</v>
      </c>
      <c r="G229" s="41">
        <f>SUM(G215:G228)</f>
        <v>1722432.3</v>
      </c>
      <c r="H229" s="41">
        <f>SUM(H215:H228)</f>
        <v>812114.64</v>
      </c>
      <c r="I229" s="41">
        <f>SUM(I215:I228)</f>
        <v>284353.54000000004</v>
      </c>
      <c r="J229" s="41">
        <f>SUM(J215:J228)</f>
        <v>125420.98000000001</v>
      </c>
      <c r="K229" s="41">
        <f t="shared" si="3"/>
        <v>5340.66</v>
      </c>
      <c r="L229" s="41">
        <f t="shared" si="3"/>
        <v>5458068.8300000001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2520114.51+82275.1</f>
        <v>2602389.61</v>
      </c>
      <c r="G233" s="18">
        <f>1623116.33+715651.11</f>
        <v>2338767.44</v>
      </c>
      <c r="H233" s="18">
        <v>11367.62</v>
      </c>
      <c r="I233" s="18">
        <v>108253.98</v>
      </c>
      <c r="J233" s="18">
        <v>172394.45</v>
      </c>
      <c r="K233" s="18"/>
      <c r="L233" s="19">
        <f>SUM(F233:K233)</f>
        <v>5233173.1000000006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638916.19999999995</v>
      </c>
      <c r="G234" s="18">
        <v>487373.84</v>
      </c>
      <c r="H234" s="18">
        <v>80183.34</v>
      </c>
      <c r="I234" s="18">
        <v>4255.01</v>
      </c>
      <c r="J234" s="18">
        <v>2928.92</v>
      </c>
      <c r="K234" s="18"/>
      <c r="L234" s="19">
        <f>SUM(F234:K234)</f>
        <v>1213657.31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474613.79</v>
      </c>
      <c r="G235" s="18">
        <v>300578.34999999998</v>
      </c>
      <c r="H235" s="18">
        <v>34536.769999999997</v>
      </c>
      <c r="I235" s="18">
        <v>67091.66</v>
      </c>
      <c r="J235" s="18">
        <v>12794.67</v>
      </c>
      <c r="K235" s="18"/>
      <c r="L235" s="19">
        <f>SUM(F235:K235)</f>
        <v>889615.24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203934</v>
      </c>
      <c r="G236" s="18">
        <v>43451.96</v>
      </c>
      <c r="H236" s="18">
        <v>102640.66</v>
      </c>
      <c r="I236" s="18">
        <v>22527.23</v>
      </c>
      <c r="J236" s="18">
        <v>7200</v>
      </c>
      <c r="K236" s="18">
        <v>10586</v>
      </c>
      <c r="L236" s="19">
        <f>SUM(F236:K236)</f>
        <v>390339.85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563844.51</v>
      </c>
      <c r="G238" s="18">
        <v>367775.58</v>
      </c>
      <c r="H238" s="18">
        <v>86348.35</v>
      </c>
      <c r="I238" s="18">
        <v>12928.19</v>
      </c>
      <c r="J238" s="18">
        <v>450.96</v>
      </c>
      <c r="K238" s="18">
        <v>90</v>
      </c>
      <c r="L238" s="19">
        <f t="shared" ref="L238:L244" si="4">SUM(F238:K238)</f>
        <v>1031437.59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67490.100000000006</v>
      </c>
      <c r="G239" s="18">
        <v>47056.47</v>
      </c>
      <c r="H239" s="18">
        <v>31293.9</v>
      </c>
      <c r="I239" s="18">
        <v>13587.85</v>
      </c>
      <c r="J239" s="18">
        <v>934.75</v>
      </c>
      <c r="K239" s="18"/>
      <c r="L239" s="19">
        <f t="shared" si="4"/>
        <v>160363.07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9177.34</v>
      </c>
      <c r="G240" s="18">
        <v>702.11</v>
      </c>
      <c r="H240" s="18">
        <v>531847.75</v>
      </c>
      <c r="I240" s="18">
        <v>2101.34</v>
      </c>
      <c r="J240" s="18"/>
      <c r="K240" s="18">
        <v>2340.16</v>
      </c>
      <c r="L240" s="19">
        <f t="shared" si="4"/>
        <v>546168.69999999995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452085.86</v>
      </c>
      <c r="G241" s="18">
        <v>236546.07</v>
      </c>
      <c r="H241" s="18">
        <v>76574.47</v>
      </c>
      <c r="I241" s="18">
        <v>18138.89</v>
      </c>
      <c r="J241" s="18">
        <v>8350.26</v>
      </c>
      <c r="K241" s="18">
        <v>15123.18</v>
      </c>
      <c r="L241" s="19">
        <f t="shared" si="4"/>
        <v>806818.73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471158.25</v>
      </c>
      <c r="G243" s="18">
        <v>260832.78</v>
      </c>
      <c r="H243" s="18">
        <v>519277.2</v>
      </c>
      <c r="I243" s="18">
        <v>414443.72</v>
      </c>
      <c r="J243" s="18">
        <v>72352.45</v>
      </c>
      <c r="K243" s="18"/>
      <c r="L243" s="19">
        <f t="shared" si="4"/>
        <v>1738064.4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126299.73</v>
      </c>
      <c r="G244" s="18">
        <v>59318.53</v>
      </c>
      <c r="H244" s="18">
        <v>54844.63</v>
      </c>
      <c r="I244" s="18">
        <v>41146.639999999999</v>
      </c>
      <c r="J244" s="18">
        <v>36360</v>
      </c>
      <c r="K244" s="18"/>
      <c r="L244" s="19">
        <f t="shared" si="4"/>
        <v>317969.53000000003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>
        <v>1220.77</v>
      </c>
      <c r="I245" s="18"/>
      <c r="J245" s="18"/>
      <c r="K245" s="18"/>
      <c r="L245" s="19">
        <f>SUM(F245:K245)</f>
        <v>1220.77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5609909.3899999997</v>
      </c>
      <c r="G247" s="41">
        <f t="shared" si="5"/>
        <v>4142403.1299999994</v>
      </c>
      <c r="H247" s="41">
        <f t="shared" si="5"/>
        <v>1530135.46</v>
      </c>
      <c r="I247" s="41">
        <f t="shared" si="5"/>
        <v>704474.51</v>
      </c>
      <c r="J247" s="41">
        <f t="shared" si="5"/>
        <v>313766.46000000002</v>
      </c>
      <c r="K247" s="41">
        <f t="shared" si="5"/>
        <v>28139.34</v>
      </c>
      <c r="L247" s="41">
        <f t="shared" si="5"/>
        <v>12328828.289999999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13760943</v>
      </c>
      <c r="G257" s="41">
        <f t="shared" si="8"/>
        <v>10142165.619999999</v>
      </c>
      <c r="H257" s="41">
        <f t="shared" si="8"/>
        <v>4195543.08</v>
      </c>
      <c r="I257" s="41">
        <f t="shared" si="8"/>
        <v>1460044.05</v>
      </c>
      <c r="J257" s="41">
        <f t="shared" si="8"/>
        <v>691391.63</v>
      </c>
      <c r="K257" s="41">
        <f t="shared" si="8"/>
        <v>38600.07</v>
      </c>
      <c r="L257" s="41">
        <f t="shared" si="8"/>
        <v>30288687.449999999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1937700</v>
      </c>
      <c r="L260" s="19">
        <f>SUM(F260:K260)</f>
        <v>1937700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687742.86</v>
      </c>
      <c r="L261" s="19">
        <f>SUM(F261:K261)</f>
        <v>687742.86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178489.48</v>
      </c>
      <c r="L263" s="19">
        <f>SUM(F263:K263)</f>
        <v>178489.48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81429</v>
      </c>
      <c r="L266" s="19">
        <f t="shared" si="9"/>
        <v>81429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2885361.34</v>
      </c>
      <c r="L270" s="41">
        <f t="shared" si="9"/>
        <v>2885361.34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13760943</v>
      </c>
      <c r="G271" s="42">
        <f t="shared" si="11"/>
        <v>10142165.619999999</v>
      </c>
      <c r="H271" s="42">
        <f t="shared" si="11"/>
        <v>4195543.08</v>
      </c>
      <c r="I271" s="42">
        <f t="shared" si="11"/>
        <v>1460044.05</v>
      </c>
      <c r="J271" s="42">
        <f t="shared" si="11"/>
        <v>691391.63</v>
      </c>
      <c r="K271" s="42">
        <f t="shared" si="11"/>
        <v>2923961.4099999997</v>
      </c>
      <c r="L271" s="42">
        <f t="shared" si="11"/>
        <v>33174048.789999999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343987.11</v>
      </c>
      <c r="G276" s="18">
        <v>150095.93</v>
      </c>
      <c r="H276" s="18">
        <v>0</v>
      </c>
      <c r="I276" s="18">
        <v>24056.58</v>
      </c>
      <c r="J276" s="18">
        <v>2392.61</v>
      </c>
      <c r="K276" s="18"/>
      <c r="L276" s="19">
        <f>SUM(F276:K276)</f>
        <v>520532.23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24185.87</v>
      </c>
      <c r="G277" s="18">
        <v>19984.240000000002</v>
      </c>
      <c r="H277" s="18">
        <v>25550.11</v>
      </c>
      <c r="I277" s="18">
        <v>4023.25</v>
      </c>
      <c r="J277" s="18">
        <v>3962.44</v>
      </c>
      <c r="K277" s="18"/>
      <c r="L277" s="19">
        <f>SUM(F277:K277)</f>
        <v>77705.91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166430.69</v>
      </c>
      <c r="G279" s="18">
        <v>28890.42</v>
      </c>
      <c r="H279" s="18">
        <v>1600</v>
      </c>
      <c r="I279" s="18">
        <v>31256.32</v>
      </c>
      <c r="J279" s="18">
        <v>2263.44</v>
      </c>
      <c r="K279" s="18"/>
      <c r="L279" s="19">
        <f>SUM(F279:K279)</f>
        <v>230440.87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47462.95</v>
      </c>
      <c r="G281" s="18">
        <v>12438.2</v>
      </c>
      <c r="H281" s="18">
        <v>73564.740000000005</v>
      </c>
      <c r="I281" s="18"/>
      <c r="J281" s="18"/>
      <c r="K281" s="18"/>
      <c r="L281" s="19">
        <f t="shared" ref="L281:L287" si="12">SUM(F281:K281)</f>
        <v>133465.89000000001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12904.22</v>
      </c>
      <c r="G282" s="18">
        <v>3356.36</v>
      </c>
      <c r="H282" s="18">
        <v>142720.78</v>
      </c>
      <c r="I282" s="18">
        <v>2800.45</v>
      </c>
      <c r="J282" s="18">
        <v>1439.1</v>
      </c>
      <c r="K282" s="18"/>
      <c r="L282" s="19">
        <f t="shared" si="12"/>
        <v>163220.91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10917.78</v>
      </c>
      <c r="I287" s="18"/>
      <c r="J287" s="18"/>
      <c r="K287" s="18"/>
      <c r="L287" s="19">
        <f t="shared" si="12"/>
        <v>10917.78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594970.83999999985</v>
      </c>
      <c r="G290" s="42">
        <f t="shared" si="13"/>
        <v>214765.14999999997</v>
      </c>
      <c r="H290" s="42">
        <f t="shared" si="13"/>
        <v>254353.41</v>
      </c>
      <c r="I290" s="42">
        <f t="shared" si="13"/>
        <v>62136.6</v>
      </c>
      <c r="J290" s="42">
        <f t="shared" si="13"/>
        <v>10057.59</v>
      </c>
      <c r="K290" s="42">
        <f t="shared" si="13"/>
        <v>0</v>
      </c>
      <c r="L290" s="41">
        <f t="shared" si="13"/>
        <v>1136283.5900000001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>
        <v>1471.77</v>
      </c>
      <c r="J295" s="18">
        <v>954.7</v>
      </c>
      <c r="K295" s="18"/>
      <c r="L295" s="19">
        <f>SUM(F295:K295)</f>
        <v>2426.4700000000003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1033.2</v>
      </c>
      <c r="G296" s="18">
        <v>258.41000000000003</v>
      </c>
      <c r="H296" s="18">
        <v>738</v>
      </c>
      <c r="I296" s="18">
        <v>926</v>
      </c>
      <c r="J296" s="18">
        <v>1581.12</v>
      </c>
      <c r="K296" s="18"/>
      <c r="L296" s="19">
        <f>SUM(F296:K296)</f>
        <v>4536.7299999999996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11842.66</v>
      </c>
      <c r="G300" s="18">
        <v>5452.14</v>
      </c>
      <c r="H300" s="18">
        <v>33665.53</v>
      </c>
      <c r="I300" s="18"/>
      <c r="J300" s="18"/>
      <c r="K300" s="18"/>
      <c r="L300" s="19">
        <f t="shared" ref="L300:L306" si="14">SUM(F300:K300)</f>
        <v>50960.33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3961.63</v>
      </c>
      <c r="G301" s="18">
        <v>1013.29</v>
      </c>
      <c r="H301" s="18">
        <v>20590.8</v>
      </c>
      <c r="I301" s="18"/>
      <c r="J301" s="18"/>
      <c r="K301" s="18"/>
      <c r="L301" s="19">
        <f t="shared" si="14"/>
        <v>25565.72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16837.490000000002</v>
      </c>
      <c r="G309" s="42">
        <f t="shared" si="15"/>
        <v>6723.84</v>
      </c>
      <c r="H309" s="42">
        <f t="shared" si="15"/>
        <v>54994.33</v>
      </c>
      <c r="I309" s="42">
        <f t="shared" si="15"/>
        <v>2397.77</v>
      </c>
      <c r="J309" s="42">
        <f t="shared" si="15"/>
        <v>2535.8199999999997</v>
      </c>
      <c r="K309" s="42">
        <f t="shared" si="15"/>
        <v>0</v>
      </c>
      <c r="L309" s="41">
        <f t="shared" si="15"/>
        <v>83489.25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30724.85</v>
      </c>
      <c r="G314" s="18">
        <v>30012.73</v>
      </c>
      <c r="H314" s="18">
        <v>1500</v>
      </c>
      <c r="I314" s="18">
        <v>6121.85</v>
      </c>
      <c r="J314" s="18">
        <v>2474.0500000000002</v>
      </c>
      <c r="K314" s="18"/>
      <c r="L314" s="19">
        <f>SUM(F314:K314)</f>
        <v>70833.48000000001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2677</v>
      </c>
      <c r="G315" s="18">
        <v>669.65</v>
      </c>
      <c r="H315" s="18">
        <v>1913</v>
      </c>
      <c r="I315" s="18">
        <v>2399.69</v>
      </c>
      <c r="J315" s="18">
        <v>4097.41</v>
      </c>
      <c r="K315" s="18"/>
      <c r="L315" s="19">
        <f>SUM(F315:K315)</f>
        <v>11756.75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7685.06</v>
      </c>
      <c r="G316" s="18">
        <v>4165.83</v>
      </c>
      <c r="H316" s="18">
        <v>5364.37</v>
      </c>
      <c r="I316" s="18">
        <v>7189.17</v>
      </c>
      <c r="J316" s="18">
        <v>56433.1</v>
      </c>
      <c r="K316" s="18">
        <v>975</v>
      </c>
      <c r="L316" s="19">
        <f>SUM(F316:K316)</f>
        <v>81812.53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33689.83</v>
      </c>
      <c r="G319" s="18">
        <v>14662.48</v>
      </c>
      <c r="H319" s="18">
        <v>45499</v>
      </c>
      <c r="I319" s="18"/>
      <c r="J319" s="18"/>
      <c r="K319" s="18"/>
      <c r="L319" s="19">
        <f t="shared" ref="L319:L325" si="16">SUM(F319:K319)</f>
        <v>93851.31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14154.41</v>
      </c>
      <c r="G320" s="18">
        <v>3442.88</v>
      </c>
      <c r="H320" s="18">
        <v>80898.78</v>
      </c>
      <c r="I320" s="18"/>
      <c r="J320" s="18"/>
      <c r="K320" s="18">
        <v>2717.66</v>
      </c>
      <c r="L320" s="19">
        <f t="shared" si="16"/>
        <v>101213.73000000001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3094.47</v>
      </c>
      <c r="G325" s="18">
        <v>492.43</v>
      </c>
      <c r="H325" s="18"/>
      <c r="I325" s="18"/>
      <c r="J325" s="18"/>
      <c r="K325" s="18"/>
      <c r="L325" s="19">
        <f t="shared" si="16"/>
        <v>3586.8999999999996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92025.62</v>
      </c>
      <c r="G328" s="42">
        <f t="shared" si="17"/>
        <v>53446</v>
      </c>
      <c r="H328" s="42">
        <f t="shared" si="17"/>
        <v>135175.15</v>
      </c>
      <c r="I328" s="42">
        <f t="shared" si="17"/>
        <v>15710.710000000001</v>
      </c>
      <c r="J328" s="42">
        <f t="shared" si="17"/>
        <v>63004.56</v>
      </c>
      <c r="K328" s="42">
        <f t="shared" si="17"/>
        <v>3692.66</v>
      </c>
      <c r="L328" s="41">
        <f t="shared" si="17"/>
        <v>363054.70000000007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17250</v>
      </c>
      <c r="G333" s="18">
        <v>3109.04</v>
      </c>
      <c r="H333" s="18">
        <v>6439.54</v>
      </c>
      <c r="I333" s="18">
        <v>18344.96</v>
      </c>
      <c r="J333" s="18">
        <v>2792.99</v>
      </c>
      <c r="K333" s="18"/>
      <c r="L333" s="19">
        <f t="shared" si="18"/>
        <v>47936.53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17250</v>
      </c>
      <c r="G337" s="41">
        <f t="shared" si="19"/>
        <v>3109.04</v>
      </c>
      <c r="H337" s="41">
        <f t="shared" si="19"/>
        <v>6439.54</v>
      </c>
      <c r="I337" s="41">
        <f t="shared" si="19"/>
        <v>18344.96</v>
      </c>
      <c r="J337" s="41">
        <f t="shared" si="19"/>
        <v>2792.99</v>
      </c>
      <c r="K337" s="41">
        <f t="shared" si="19"/>
        <v>0</v>
      </c>
      <c r="L337" s="41">
        <f t="shared" si="18"/>
        <v>47936.53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721083.94999999984</v>
      </c>
      <c r="G338" s="41">
        <f t="shared" si="20"/>
        <v>278044.02999999997</v>
      </c>
      <c r="H338" s="41">
        <f t="shared" si="20"/>
        <v>450962.43</v>
      </c>
      <c r="I338" s="41">
        <f t="shared" si="20"/>
        <v>98590.040000000008</v>
      </c>
      <c r="J338" s="41">
        <f t="shared" si="20"/>
        <v>78390.960000000006</v>
      </c>
      <c r="K338" s="41">
        <f t="shared" si="20"/>
        <v>3692.66</v>
      </c>
      <c r="L338" s="41">
        <f t="shared" si="20"/>
        <v>1630764.07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721083.94999999984</v>
      </c>
      <c r="G352" s="41">
        <f>G338</f>
        <v>278044.02999999997</v>
      </c>
      <c r="H352" s="41">
        <f>H338</f>
        <v>450962.43</v>
      </c>
      <c r="I352" s="41">
        <f>I338</f>
        <v>98590.040000000008</v>
      </c>
      <c r="J352" s="41">
        <f>J338</f>
        <v>78390.960000000006</v>
      </c>
      <c r="K352" s="47">
        <f>K338+K351</f>
        <v>3692.66</v>
      </c>
      <c r="L352" s="41">
        <f>L338+L351</f>
        <v>1630764.07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124731.73</v>
      </c>
      <c r="G358" s="18">
        <v>73411.83</v>
      </c>
      <c r="H358" s="18">
        <v>10793.39</v>
      </c>
      <c r="I358" s="18">
        <v>100843.76</v>
      </c>
      <c r="J358" s="18">
        <f>238.05-140.21</f>
        <v>97.84</v>
      </c>
      <c r="K358" s="18"/>
      <c r="L358" s="13">
        <f>SUM(F358:K358)</f>
        <v>309878.55000000005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49771.29</v>
      </c>
      <c r="G359" s="18">
        <v>29293.279999999999</v>
      </c>
      <c r="H359" s="18">
        <v>4306.8500000000004</v>
      </c>
      <c r="I359" s="18">
        <v>40239.360000000001</v>
      </c>
      <c r="J359" s="18">
        <v>39.04</v>
      </c>
      <c r="K359" s="18"/>
      <c r="L359" s="19">
        <f>SUM(F359:K359)</f>
        <v>123649.82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128980.48</v>
      </c>
      <c r="G360" s="18">
        <v>75912.479999999996</v>
      </c>
      <c r="H360" s="18">
        <v>11161.05</v>
      </c>
      <c r="I360" s="18">
        <v>104278.82</v>
      </c>
      <c r="J360" s="18">
        <v>101.17</v>
      </c>
      <c r="K360" s="18"/>
      <c r="L360" s="19">
        <f>SUM(F360:K360)</f>
        <v>320433.99999999994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303483.5</v>
      </c>
      <c r="G362" s="47">
        <f t="shared" si="22"/>
        <v>178617.59</v>
      </c>
      <c r="H362" s="47">
        <f t="shared" si="22"/>
        <v>26261.29</v>
      </c>
      <c r="I362" s="47">
        <f t="shared" si="22"/>
        <v>245361.94</v>
      </c>
      <c r="J362" s="47">
        <f t="shared" si="22"/>
        <v>238.05</v>
      </c>
      <c r="K362" s="47">
        <f t="shared" si="22"/>
        <v>0</v>
      </c>
      <c r="L362" s="47">
        <f t="shared" si="22"/>
        <v>753962.37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88647.65</v>
      </c>
      <c r="G367" s="18">
        <v>35372.78</v>
      </c>
      <c r="H367" s="18">
        <v>91667.28</v>
      </c>
      <c r="I367" s="56">
        <f>SUM(F367:H367)</f>
        <v>215687.71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12196.11</v>
      </c>
      <c r="G368" s="63">
        <v>4866.58</v>
      </c>
      <c r="H368" s="63">
        <v>12611.54</v>
      </c>
      <c r="I368" s="56">
        <f>SUM(F368:H368)</f>
        <v>29674.230000000003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100843.76</v>
      </c>
      <c r="G369" s="47">
        <f>SUM(G367:G368)</f>
        <v>40239.360000000001</v>
      </c>
      <c r="H369" s="47">
        <f>SUM(H367:H368)</f>
        <v>104278.82</v>
      </c>
      <c r="I369" s="47">
        <f>SUM(I367:I368)</f>
        <v>245361.94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>
        <v>1995000.95</v>
      </c>
      <c r="I379" s="18"/>
      <c r="J379" s="18"/>
      <c r="K379" s="18"/>
      <c r="L379" s="13">
        <f t="shared" si="23"/>
        <v>1995000.95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1995000.95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1995000.95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>
        <v>315.64999999999998</v>
      </c>
      <c r="I390" s="18"/>
      <c r="J390" s="24" t="s">
        <v>286</v>
      </c>
      <c r="K390" s="24" t="s">
        <v>286</v>
      </c>
      <c r="L390" s="56">
        <f t="shared" si="25"/>
        <v>315.64999999999998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>
        <v>205.55</v>
      </c>
      <c r="I392" s="18"/>
      <c r="J392" s="24" t="s">
        <v>286</v>
      </c>
      <c r="K392" s="24" t="s">
        <v>286</v>
      </c>
      <c r="L392" s="56">
        <f t="shared" si="25"/>
        <v>205.55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521.20000000000005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521.20000000000005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81429</v>
      </c>
      <c r="H396" s="18">
        <v>7208.78</v>
      </c>
      <c r="I396" s="18"/>
      <c r="J396" s="24" t="s">
        <v>286</v>
      </c>
      <c r="K396" s="24" t="s">
        <v>286</v>
      </c>
      <c r="L396" s="56">
        <f t="shared" si="26"/>
        <v>88637.78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2680.84</v>
      </c>
      <c r="I397" s="18"/>
      <c r="J397" s="24" t="s">
        <v>286</v>
      </c>
      <c r="K397" s="24" t="s">
        <v>286</v>
      </c>
      <c r="L397" s="56">
        <f t="shared" si="26"/>
        <v>2680.84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81429</v>
      </c>
      <c r="H401" s="47">
        <f>SUM(H395:H400)</f>
        <v>9889.619999999999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91318.62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 t="s">
        <v>922</v>
      </c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>
        <v>216.59</v>
      </c>
      <c r="I403" s="18"/>
      <c r="J403" s="24" t="s">
        <v>286</v>
      </c>
      <c r="K403" s="24" t="s">
        <v>286</v>
      </c>
      <c r="L403" s="56">
        <f>SUM(F403:K403)</f>
        <v>216.59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216.59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216.59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81429</v>
      </c>
      <c r="H408" s="47">
        <f>H393+H401+H407</f>
        <v>10627.41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92056.409999999989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>
        <v>22889.62</v>
      </c>
      <c r="L422" s="56">
        <f t="shared" si="29"/>
        <v>22889.62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22889.62</v>
      </c>
      <c r="L427" s="47">
        <f t="shared" si="30"/>
        <v>22889.62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22889.62</v>
      </c>
      <c r="L434" s="47">
        <f t="shared" si="32"/>
        <v>22889.62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78922.09</v>
      </c>
      <c r="G439" s="18">
        <v>1498989.86</v>
      </c>
      <c r="H439" s="18">
        <v>32797.21</v>
      </c>
      <c r="I439" s="56">
        <f t="shared" ref="I439:I445" si="33">SUM(F439:H439)</f>
        <v>1610709.1600000001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78922.09</v>
      </c>
      <c r="G446" s="13">
        <f>SUM(G439:G445)</f>
        <v>1498989.86</v>
      </c>
      <c r="H446" s="13">
        <f>SUM(H439:H445)</f>
        <v>32797.21</v>
      </c>
      <c r="I446" s="13">
        <f>SUM(I439:I445)</f>
        <v>1610709.1600000001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78922.09</v>
      </c>
      <c r="G459" s="18">
        <v>1498989.86</v>
      </c>
      <c r="H459" s="18">
        <v>32797.21</v>
      </c>
      <c r="I459" s="56">
        <f t="shared" si="34"/>
        <v>1610709.1600000001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78922.09</v>
      </c>
      <c r="G460" s="83">
        <f>SUM(G454:G459)</f>
        <v>1498989.86</v>
      </c>
      <c r="H460" s="83">
        <f>SUM(H454:H459)</f>
        <v>32797.21</v>
      </c>
      <c r="I460" s="83">
        <f>SUM(I454:I459)</f>
        <v>1610709.1600000001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78922.09</v>
      </c>
      <c r="G461" s="42">
        <f>G452+G460</f>
        <v>1498989.86</v>
      </c>
      <c r="H461" s="42">
        <f>H452+H460</f>
        <v>32797.21</v>
      </c>
      <c r="I461" s="42">
        <f>I452+I460</f>
        <v>1610709.1600000001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1791353.59</v>
      </c>
      <c r="G465" s="18">
        <v>35671.79</v>
      </c>
      <c r="H465" s="18">
        <v>177292.61</v>
      </c>
      <c r="I465" s="18">
        <v>49165</v>
      </c>
      <c r="J465" s="18">
        <v>1541542.37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33324969.109999999</v>
      </c>
      <c r="G468" s="18">
        <v>753962.37</v>
      </c>
      <c r="H468" s="18">
        <v>1660682.46</v>
      </c>
      <c r="I468" s="18">
        <v>3300001</v>
      </c>
      <c r="J468" s="18">
        <v>92056.41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>
        <f>39167.69-35671.79</f>
        <v>3495.9000000000015</v>
      </c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33324969.109999999</v>
      </c>
      <c r="G470" s="53">
        <f>SUM(G468:G469)</f>
        <v>757458.27</v>
      </c>
      <c r="H470" s="53">
        <f>SUM(H468:H469)</f>
        <v>1660682.46</v>
      </c>
      <c r="I470" s="53">
        <f>SUM(I468:I469)</f>
        <v>3300001</v>
      </c>
      <c r="J470" s="53">
        <f>SUM(J468:J469)</f>
        <v>92056.41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33174048.789999999</v>
      </c>
      <c r="G472" s="18">
        <v>753962.37</v>
      </c>
      <c r="H472" s="18">
        <v>1630764.07</v>
      </c>
      <c r="I472" s="18">
        <v>1995000.95</v>
      </c>
      <c r="J472" s="18">
        <v>22889.62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33174048.789999999</v>
      </c>
      <c r="G474" s="53">
        <f>SUM(G472:G473)</f>
        <v>753962.37</v>
      </c>
      <c r="H474" s="53">
        <f>SUM(H472:H473)</f>
        <v>1630764.07</v>
      </c>
      <c r="I474" s="53">
        <f>SUM(I472:I473)</f>
        <v>1995000.95</v>
      </c>
      <c r="J474" s="53">
        <f>SUM(J472:J473)</f>
        <v>22889.62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1942273.9100000039</v>
      </c>
      <c r="G476" s="53">
        <f>(G465+G470)- G474</f>
        <v>39167.690000000061</v>
      </c>
      <c r="H476" s="53">
        <f>(H465+H470)- H474</f>
        <v>207210.99999999977</v>
      </c>
      <c r="I476" s="53">
        <f>(I465+I470)- I474</f>
        <v>1354165.05</v>
      </c>
      <c r="J476" s="53">
        <f>(J465+J470)- J474</f>
        <v>1610709.16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>
        <v>20</v>
      </c>
      <c r="H490" s="154">
        <v>20</v>
      </c>
      <c r="I490" s="154">
        <v>20</v>
      </c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 t="s">
        <v>915</v>
      </c>
      <c r="H491" s="155" t="s">
        <v>917</v>
      </c>
      <c r="I491" s="155" t="s">
        <v>918</v>
      </c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 t="s">
        <v>916</v>
      </c>
      <c r="H492" s="155" t="s">
        <v>919</v>
      </c>
      <c r="I492" s="155" t="s">
        <v>920</v>
      </c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42120000</v>
      </c>
      <c r="G493" s="18">
        <v>1837000</v>
      </c>
      <c r="H493" s="18">
        <v>1871000</v>
      </c>
      <c r="I493" s="18">
        <v>1122900</v>
      </c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</v>
      </c>
      <c r="G494" s="18">
        <v>2.5</v>
      </c>
      <c r="H494" s="18">
        <v>2.6640000000000001</v>
      </c>
      <c r="I494" s="18">
        <v>3.24</v>
      </c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12910000</v>
      </c>
      <c r="G495" s="18">
        <v>1837000</v>
      </c>
      <c r="H495" s="18">
        <v>0</v>
      </c>
      <c r="I495" s="18">
        <v>0</v>
      </c>
      <c r="J495" s="18"/>
      <c r="K495" s="53">
        <f>SUM(F495:J495)</f>
        <v>14747000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>
        <v>0</v>
      </c>
      <c r="H496" s="18">
        <v>1871000</v>
      </c>
      <c r="I496" s="18">
        <v>1122900</v>
      </c>
      <c r="J496" s="18"/>
      <c r="K496" s="53">
        <f t="shared" ref="K496:K503" si="35">SUM(F496:J496)</f>
        <v>2993900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1850000</v>
      </c>
      <c r="G497" s="18">
        <v>87700</v>
      </c>
      <c r="H497" s="18">
        <v>0</v>
      </c>
      <c r="I497" s="18">
        <v>0</v>
      </c>
      <c r="J497" s="18"/>
      <c r="K497" s="53">
        <f t="shared" si="35"/>
        <v>1937700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11060000</v>
      </c>
      <c r="G498" s="204">
        <v>1749300</v>
      </c>
      <c r="H498" s="204">
        <v>1871000</v>
      </c>
      <c r="I498" s="204">
        <v>1122900</v>
      </c>
      <c r="J498" s="204"/>
      <c r="K498" s="205">
        <f t="shared" si="35"/>
        <v>15803200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1505652.76</v>
      </c>
      <c r="G499" s="18">
        <v>556474.75</v>
      </c>
      <c r="H499" s="18">
        <v>739685.5</v>
      </c>
      <c r="I499" s="18">
        <v>473553.15</v>
      </c>
      <c r="J499" s="18"/>
      <c r="K499" s="53">
        <f t="shared" si="35"/>
        <v>3275366.1599999997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12565652.76</v>
      </c>
      <c r="G500" s="42">
        <f>SUM(G498:G499)</f>
        <v>2305774.75</v>
      </c>
      <c r="H500" s="42">
        <f>SUM(H498:H499)</f>
        <v>2610685.5</v>
      </c>
      <c r="I500" s="42">
        <f>SUM(I498:I499)</f>
        <v>1596453.15</v>
      </c>
      <c r="J500" s="42">
        <f>SUM(J498:J499)</f>
        <v>0</v>
      </c>
      <c r="K500" s="42">
        <f t="shared" si="35"/>
        <v>19078566.159999996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1850000</v>
      </c>
      <c r="G501" s="204">
        <v>95000</v>
      </c>
      <c r="H501" s="204">
        <v>91000</v>
      </c>
      <c r="I501" s="204">
        <v>0</v>
      </c>
      <c r="J501" s="204"/>
      <c r="K501" s="205">
        <f t="shared" si="35"/>
        <v>2036000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481849.5</v>
      </c>
      <c r="G502" s="18">
        <v>64778</v>
      </c>
      <c r="H502" s="18">
        <v>80300.5</v>
      </c>
      <c r="I502" s="18">
        <v>32997.14</v>
      </c>
      <c r="J502" s="18"/>
      <c r="K502" s="53">
        <f t="shared" si="35"/>
        <v>659925.14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2331849.5</v>
      </c>
      <c r="G503" s="42">
        <f>SUM(G501:G502)</f>
        <v>159778</v>
      </c>
      <c r="H503" s="42">
        <f>SUM(H501:H502)</f>
        <v>171300.5</v>
      </c>
      <c r="I503" s="42">
        <f>SUM(I501:I502)</f>
        <v>32997.14</v>
      </c>
      <c r="J503" s="42">
        <f>SUM(J501:J502)</f>
        <v>0</v>
      </c>
      <c r="K503" s="42">
        <f t="shared" si="35"/>
        <v>2695925.14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1283336.98</v>
      </c>
      <c r="G521" s="18">
        <v>1000531.15</v>
      </c>
      <c r="H521" s="18">
        <v>741766.79</v>
      </c>
      <c r="I521" s="18">
        <v>5948.15</v>
      </c>
      <c r="J521" s="18">
        <v>3962.44</v>
      </c>
      <c r="K521" s="18"/>
      <c r="L521" s="88">
        <f>SUM(F521:K521)</f>
        <v>3035545.51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502592.87</v>
      </c>
      <c r="G522" s="18">
        <v>358996.53</v>
      </c>
      <c r="H522" s="18">
        <v>88694.98</v>
      </c>
      <c r="I522" s="18">
        <v>5972.02</v>
      </c>
      <c r="J522" s="18">
        <v>1581.12</v>
      </c>
      <c r="K522" s="18"/>
      <c r="L522" s="88">
        <f>SUM(F522:K522)</f>
        <v>957837.52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641593.19999999995</v>
      </c>
      <c r="G523" s="18">
        <v>488043.49</v>
      </c>
      <c r="H523" s="18">
        <v>82096.34</v>
      </c>
      <c r="I523" s="18">
        <v>6654.7</v>
      </c>
      <c r="J523" s="18">
        <v>7026.33</v>
      </c>
      <c r="K523" s="18"/>
      <c r="L523" s="88">
        <f>SUM(F523:K523)</f>
        <v>1225414.06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2427523.0499999998</v>
      </c>
      <c r="G524" s="108">
        <f t="shared" ref="G524:L524" si="36">SUM(G521:G523)</f>
        <v>1847571.1700000002</v>
      </c>
      <c r="H524" s="108">
        <f t="shared" si="36"/>
        <v>912558.11</v>
      </c>
      <c r="I524" s="108">
        <f t="shared" si="36"/>
        <v>18574.87</v>
      </c>
      <c r="J524" s="108">
        <f t="shared" si="36"/>
        <v>12569.89</v>
      </c>
      <c r="K524" s="108">
        <f t="shared" si="36"/>
        <v>0</v>
      </c>
      <c r="L524" s="89">
        <f t="shared" si="36"/>
        <v>5218797.09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217097.88</v>
      </c>
      <c r="G526" s="18">
        <v>150228.82999999999</v>
      </c>
      <c r="H526" s="18">
        <v>126435.67</v>
      </c>
      <c r="I526" s="18">
        <v>480.04</v>
      </c>
      <c r="J526" s="18"/>
      <c r="K526" s="18"/>
      <c r="L526" s="88">
        <f>SUM(F526:K526)</f>
        <v>494242.41999999993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43411.33</v>
      </c>
      <c r="G527" s="18">
        <v>21152.46</v>
      </c>
      <c r="H527" s="18">
        <v>51912.86</v>
      </c>
      <c r="I527" s="18">
        <v>1240.6500000000001</v>
      </c>
      <c r="J527" s="18"/>
      <c r="K527" s="18"/>
      <c r="L527" s="88">
        <f>SUM(F527:K527)</f>
        <v>117717.29999999999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147917.23000000001</v>
      </c>
      <c r="G528" s="18">
        <v>99688.19</v>
      </c>
      <c r="H528" s="18">
        <v>498.98</v>
      </c>
      <c r="I528" s="18">
        <v>326.77</v>
      </c>
      <c r="J528" s="18"/>
      <c r="K528" s="18"/>
      <c r="L528" s="88">
        <f>SUM(F528:K528)</f>
        <v>248431.17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408426.44000000006</v>
      </c>
      <c r="G529" s="89">
        <f t="shared" ref="G529:L529" si="37">SUM(G526:G528)</f>
        <v>271069.48</v>
      </c>
      <c r="H529" s="89">
        <f t="shared" si="37"/>
        <v>178847.51</v>
      </c>
      <c r="I529" s="89">
        <f t="shared" si="37"/>
        <v>2047.46</v>
      </c>
      <c r="J529" s="89">
        <f t="shared" si="37"/>
        <v>0</v>
      </c>
      <c r="K529" s="89">
        <f t="shared" si="37"/>
        <v>0</v>
      </c>
      <c r="L529" s="89">
        <f t="shared" si="37"/>
        <v>860390.89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70114.77</v>
      </c>
      <c r="I531" s="18"/>
      <c r="J531" s="18"/>
      <c r="K531" s="18"/>
      <c r="L531" s="88">
        <f>SUM(F531:K531)</f>
        <v>70114.77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>
        <v>27977.66</v>
      </c>
      <c r="I532" s="18"/>
      <c r="J532" s="18"/>
      <c r="K532" s="18"/>
      <c r="L532" s="88">
        <f>SUM(F532:K532)</f>
        <v>27977.66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72503.100000000006</v>
      </c>
      <c r="I533" s="18"/>
      <c r="J533" s="18"/>
      <c r="K533" s="18"/>
      <c r="L533" s="88">
        <f>SUM(F533:K533)</f>
        <v>72503.100000000006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170595.53000000003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170595.53000000003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42245.75</v>
      </c>
      <c r="G541" s="18">
        <v>14966.66</v>
      </c>
      <c r="H541" s="18">
        <v>36170.07</v>
      </c>
      <c r="I541" s="18"/>
      <c r="J541" s="18"/>
      <c r="K541" s="18"/>
      <c r="L541" s="88">
        <f>SUM(F541:K541)</f>
        <v>93382.48000000001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8449.15</v>
      </c>
      <c r="G542" s="18">
        <v>2993.33</v>
      </c>
      <c r="H542" s="18">
        <v>29342.45</v>
      </c>
      <c r="I542" s="18"/>
      <c r="J542" s="18"/>
      <c r="K542" s="18"/>
      <c r="L542" s="88">
        <f>SUM(F542:K542)</f>
        <v>40784.93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5632.77</v>
      </c>
      <c r="G543" s="18">
        <v>1995.56</v>
      </c>
      <c r="H543" s="18">
        <v>39907.42</v>
      </c>
      <c r="I543" s="18"/>
      <c r="J543" s="18"/>
      <c r="K543" s="18"/>
      <c r="L543" s="88">
        <f>SUM(F543:K543)</f>
        <v>47535.75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56327.67</v>
      </c>
      <c r="G544" s="193">
        <f t="shared" ref="G544:L544" si="40">SUM(G541:G543)</f>
        <v>19955.55</v>
      </c>
      <c r="H544" s="193">
        <f t="shared" si="40"/>
        <v>105419.94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181703.16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2892277.1599999997</v>
      </c>
      <c r="G545" s="89">
        <f t="shared" ref="G545:L545" si="41">G524+G529+G534+G539+G544</f>
        <v>2138596.2000000002</v>
      </c>
      <c r="H545" s="89">
        <f t="shared" si="41"/>
        <v>1367421.09</v>
      </c>
      <c r="I545" s="89">
        <f t="shared" si="41"/>
        <v>20622.329999999998</v>
      </c>
      <c r="J545" s="89">
        <f t="shared" si="41"/>
        <v>12569.89</v>
      </c>
      <c r="K545" s="89">
        <f t="shared" si="41"/>
        <v>0</v>
      </c>
      <c r="L545" s="89">
        <f t="shared" si="41"/>
        <v>6431486.6699999999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3035545.51</v>
      </c>
      <c r="G549" s="87">
        <f>L526</f>
        <v>494242.41999999993</v>
      </c>
      <c r="H549" s="87">
        <f>L531</f>
        <v>70114.77</v>
      </c>
      <c r="I549" s="87">
        <f>L536</f>
        <v>0</v>
      </c>
      <c r="J549" s="87">
        <f>L541</f>
        <v>93382.48000000001</v>
      </c>
      <c r="K549" s="87">
        <f>SUM(F549:J549)</f>
        <v>3693285.1799999997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957837.52</v>
      </c>
      <c r="G550" s="87">
        <f>L527</f>
        <v>117717.29999999999</v>
      </c>
      <c r="H550" s="87">
        <f>L532</f>
        <v>27977.66</v>
      </c>
      <c r="I550" s="87">
        <f>L537</f>
        <v>0</v>
      </c>
      <c r="J550" s="87">
        <f>L542</f>
        <v>40784.93</v>
      </c>
      <c r="K550" s="87">
        <f>SUM(F550:J550)</f>
        <v>1144317.4099999999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1225414.06</v>
      </c>
      <c r="G551" s="87">
        <f>L528</f>
        <v>248431.17</v>
      </c>
      <c r="H551" s="87">
        <f>L533</f>
        <v>72503.100000000006</v>
      </c>
      <c r="I551" s="87">
        <f>L538</f>
        <v>0</v>
      </c>
      <c r="J551" s="87">
        <f>L543</f>
        <v>47535.75</v>
      </c>
      <c r="K551" s="87">
        <f>SUM(F551:J551)</f>
        <v>1593884.08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5218797.09</v>
      </c>
      <c r="G552" s="89">
        <f t="shared" si="42"/>
        <v>860390.89</v>
      </c>
      <c r="H552" s="89">
        <f t="shared" si="42"/>
        <v>170595.53000000003</v>
      </c>
      <c r="I552" s="89">
        <f t="shared" si="42"/>
        <v>0</v>
      </c>
      <c r="J552" s="89">
        <f t="shared" si="42"/>
        <v>181703.16</v>
      </c>
      <c r="K552" s="89">
        <f t="shared" si="42"/>
        <v>6431486.6699999999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342307.76</v>
      </c>
      <c r="G582" s="18">
        <v>85040</v>
      </c>
      <c r="H582" s="18">
        <v>70538.87</v>
      </c>
      <c r="I582" s="87">
        <f t="shared" si="47"/>
        <v>497886.63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135039.63</v>
      </c>
      <c r="G583" s="18"/>
      <c r="H583" s="18"/>
      <c r="I583" s="87">
        <f t="shared" si="47"/>
        <v>135039.63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234883.28</v>
      </c>
      <c r="I591" s="18">
        <v>80671.45</v>
      </c>
      <c r="J591" s="18">
        <v>202074.88</v>
      </c>
      <c r="K591" s="104">
        <f t="shared" ref="K591:K597" si="48">SUM(H591:J591)</f>
        <v>517629.61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93382.48</v>
      </c>
      <c r="I592" s="18">
        <v>43854.93</v>
      </c>
      <c r="J592" s="18">
        <v>62472.959999999999</v>
      </c>
      <c r="K592" s="104">
        <f t="shared" si="48"/>
        <v>199710.37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11922.82</v>
      </c>
      <c r="J594" s="18">
        <v>48173.25</v>
      </c>
      <c r="K594" s="104">
        <f t="shared" si="48"/>
        <v>60096.07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28168.91</v>
      </c>
      <c r="I595" s="18">
        <v>2219.19</v>
      </c>
      <c r="J595" s="18">
        <v>5248.44</v>
      </c>
      <c r="K595" s="104">
        <f t="shared" si="48"/>
        <v>35636.54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356434.67</v>
      </c>
      <c r="I598" s="108">
        <f>SUM(I591:I597)</f>
        <v>138668.39000000001</v>
      </c>
      <c r="J598" s="108">
        <f>SUM(J591:J597)</f>
        <v>317969.53000000003</v>
      </c>
      <c r="K598" s="108">
        <f>SUM(K591:K597)</f>
        <v>813072.59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262261.78000000003</v>
      </c>
      <c r="I604" s="18">
        <v>127956.8</v>
      </c>
      <c r="J604" s="18">
        <f>376771.02+2792.99</f>
        <v>379564.01</v>
      </c>
      <c r="K604" s="104">
        <f>SUM(H604:J604)</f>
        <v>769782.59000000008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262261.78000000003</v>
      </c>
      <c r="I605" s="108">
        <f>SUM(I602:I604)</f>
        <v>127956.8</v>
      </c>
      <c r="J605" s="108">
        <f>SUM(J602:J604)</f>
        <v>379564.01</v>
      </c>
      <c r="K605" s="108">
        <f>SUM(K602:K604)</f>
        <v>769782.59000000008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3900</v>
      </c>
      <c r="G612" s="18">
        <v>823.23</v>
      </c>
      <c r="H612" s="18"/>
      <c r="I612" s="18"/>
      <c r="J612" s="18"/>
      <c r="K612" s="18"/>
      <c r="L612" s="88">
        <f>SUM(F612:K612)</f>
        <v>4723.2299999999996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3900</v>
      </c>
      <c r="G614" s="108">
        <f t="shared" si="49"/>
        <v>823.23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4723.2299999999996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3546526.6999999997</v>
      </c>
      <c r="H617" s="109">
        <f>SUM(F52)</f>
        <v>3546526.7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519446.13000000006</v>
      </c>
      <c r="H618" s="109">
        <f>SUM(G52)</f>
        <v>519446.13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497776.07</v>
      </c>
      <c r="H619" s="109">
        <f>SUM(H52)</f>
        <v>497776.07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1354165.05</v>
      </c>
      <c r="H620" s="109">
        <f>SUM(I52)</f>
        <v>1354165.05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1610709.1600000001</v>
      </c>
      <c r="H621" s="109">
        <f>SUM(J52)</f>
        <v>1610709.1600000001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1942273.91</v>
      </c>
      <c r="H622" s="109">
        <f>F476</f>
        <v>1942273.9100000039</v>
      </c>
      <c r="I622" s="121" t="s">
        <v>101</v>
      </c>
      <c r="J622" s="109">
        <f t="shared" ref="J622:J655" si="50">G622-H622</f>
        <v>-3.9581209421157837E-9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39167.69</v>
      </c>
      <c r="H623" s="109">
        <f>G476</f>
        <v>39167.690000000061</v>
      </c>
      <c r="I623" s="121" t="s">
        <v>102</v>
      </c>
      <c r="J623" s="109">
        <f t="shared" si="50"/>
        <v>-5.8207660913467407E-11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207211</v>
      </c>
      <c r="H624" s="109">
        <f>H476</f>
        <v>207210.99999999977</v>
      </c>
      <c r="I624" s="121" t="s">
        <v>103</v>
      </c>
      <c r="J624" s="109">
        <f t="shared" si="50"/>
        <v>2.3283064365386963E-10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1354165.05</v>
      </c>
      <c r="H625" s="109">
        <f>I476</f>
        <v>1354165.05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1610709.1600000001</v>
      </c>
      <c r="H626" s="109">
        <f>J476</f>
        <v>1610709.16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33324969.109999999</v>
      </c>
      <c r="H627" s="104">
        <f>SUM(F468)</f>
        <v>33324969.109999999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753962.37</v>
      </c>
      <c r="H628" s="104">
        <f>SUM(G468)</f>
        <v>753962.37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1660682.4600000002</v>
      </c>
      <c r="H629" s="104">
        <f>SUM(H468)</f>
        <v>1660682.46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3300001</v>
      </c>
      <c r="H630" s="104">
        <f>SUM(I468)</f>
        <v>3300001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92056.41</v>
      </c>
      <c r="H631" s="104">
        <f>SUM(J468)</f>
        <v>92056.41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33174048.789999999</v>
      </c>
      <c r="H632" s="104">
        <f>SUM(F472)</f>
        <v>33174048.789999999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1630764.07</v>
      </c>
      <c r="H633" s="104">
        <f>SUM(H472)</f>
        <v>1630764.07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245361.94</v>
      </c>
      <c r="H634" s="104">
        <f>I369</f>
        <v>245361.94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753962.37</v>
      </c>
      <c r="H635" s="104">
        <f>SUM(G472)</f>
        <v>753962.37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1995000.95</v>
      </c>
      <c r="H636" s="104">
        <f>SUM(I472)</f>
        <v>1995000.95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92056.409999999989</v>
      </c>
      <c r="H637" s="164">
        <f>SUM(J468)</f>
        <v>92056.41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22889.62</v>
      </c>
      <c r="H638" s="164">
        <f>SUM(J472)</f>
        <v>22889.62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78922.09</v>
      </c>
      <c r="H639" s="104">
        <f>SUM(F461)</f>
        <v>78922.09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1498989.86</v>
      </c>
      <c r="H640" s="104">
        <f>SUM(G461)</f>
        <v>1498989.86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32797.21</v>
      </c>
      <c r="H641" s="104">
        <f>SUM(H461)</f>
        <v>32797.21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1610709.1600000001</v>
      </c>
      <c r="H642" s="104">
        <f>SUM(I461)</f>
        <v>1610709.1600000001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10627.41</v>
      </c>
      <c r="H644" s="104">
        <f>H408</f>
        <v>10627.41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81429</v>
      </c>
      <c r="H645" s="104">
        <f>G408</f>
        <v>81429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92056.41</v>
      </c>
      <c r="H646" s="104">
        <f>L408</f>
        <v>92056.409999999989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813072.59</v>
      </c>
      <c r="H647" s="104">
        <f>L208+L226+L244</f>
        <v>813072.59000000008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769782.59000000008</v>
      </c>
      <c r="H648" s="104">
        <f>(J257+J338)-(J255+J336)</f>
        <v>769782.59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356434.67</v>
      </c>
      <c r="H649" s="104">
        <f>H598</f>
        <v>356434.67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138668.39000000001</v>
      </c>
      <c r="H650" s="104">
        <f>I598</f>
        <v>138668.39000000001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317969.53000000003</v>
      </c>
      <c r="H651" s="104">
        <f>J598</f>
        <v>317969.53000000003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178489.48</v>
      </c>
      <c r="H652" s="104">
        <f>K263+K345</f>
        <v>178489.48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81429</v>
      </c>
      <c r="H655" s="104">
        <f>K266+K347</f>
        <v>81429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13947952.470000001</v>
      </c>
      <c r="G660" s="19">
        <f>(L229+L309+L359)</f>
        <v>5665207.9000000004</v>
      </c>
      <c r="H660" s="19">
        <f>(L247+L328+L360)</f>
        <v>13012316.989999998</v>
      </c>
      <c r="I660" s="19">
        <f>SUM(F660:H660)</f>
        <v>32625477.359999999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102494.20297894377</v>
      </c>
      <c r="G661" s="19">
        <f>(L359/IF(SUM(L358:L360)=0,1,SUM(L358:L360))*(SUM(G97:G110)))</f>
        <v>40897.925169037546</v>
      </c>
      <c r="H661" s="19">
        <f>(L360/IF(SUM(L358:L360)=0,1,SUM(L358:L360))*(SUM(G97:G110)))</f>
        <v>105985.48185201865</v>
      </c>
      <c r="I661" s="19">
        <f>SUM(F661:H661)</f>
        <v>249377.60999999996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332188.45</v>
      </c>
      <c r="G662" s="19">
        <f>(L226+L306)-(J226+J306)</f>
        <v>124637.39000000001</v>
      </c>
      <c r="H662" s="19">
        <f>(L244+L325)-(J244+J325)</f>
        <v>285196.43000000005</v>
      </c>
      <c r="I662" s="19">
        <f>SUM(F662:H662)</f>
        <v>742022.27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739609.17</v>
      </c>
      <c r="G663" s="199">
        <f>SUM(G575:G587)+SUM(I602:I604)+L612</f>
        <v>217720.03</v>
      </c>
      <c r="H663" s="199">
        <f>SUM(H575:H587)+SUM(J602:J604)+L613</f>
        <v>450102.88</v>
      </c>
      <c r="I663" s="19">
        <f>SUM(F663:H663)</f>
        <v>1407432.08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12773660.647021057</v>
      </c>
      <c r="G664" s="19">
        <f>G660-SUM(G661:G663)</f>
        <v>5281952.5548309628</v>
      </c>
      <c r="H664" s="19">
        <f>H660-SUM(H661:H663)</f>
        <v>12171032.19814798</v>
      </c>
      <c r="I664" s="19">
        <f>I660-SUM(I661:I663)</f>
        <v>30226645.399999999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718.87</v>
      </c>
      <c r="G665" s="248">
        <v>286.60000000000002</v>
      </c>
      <c r="H665" s="248">
        <v>725.46</v>
      </c>
      <c r="I665" s="19">
        <f>SUM(F665:H665)</f>
        <v>1730.93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17769.080000000002</v>
      </c>
      <c r="G667" s="19">
        <f>ROUND(G664/G665,2)</f>
        <v>18429.7</v>
      </c>
      <c r="H667" s="19">
        <f>ROUND(H664/H665,2)</f>
        <v>16776.990000000002</v>
      </c>
      <c r="I667" s="19">
        <f>ROUND(I664/I665,2)</f>
        <v>17462.66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17769.080000000002</v>
      </c>
      <c r="G672" s="19">
        <f>ROUND((G664+G669)/(G665+G670),2)</f>
        <v>18429.7</v>
      </c>
      <c r="H672" s="19">
        <f>ROUND((H664+H669)/(H665+H670),2)</f>
        <v>16776.990000000002</v>
      </c>
      <c r="I672" s="19">
        <f>ROUND((I664+I669)/(I665+I670),2)</f>
        <v>17462.66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9" sqref="C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 xml:space="preserve">               CONWAY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7068470.0300000003</v>
      </c>
      <c r="C9" s="229">
        <f>'DOE25'!G197+'DOE25'!G215+'DOE25'!G233+'DOE25'!G276+'DOE25'!G295+'DOE25'!G314</f>
        <v>5832768.8799999999</v>
      </c>
    </row>
    <row r="10" spans="1:3" x14ac:dyDescent="0.2">
      <c r="A10" t="s">
        <v>773</v>
      </c>
      <c r="B10" s="240">
        <v>6145236.4699999997</v>
      </c>
      <c r="C10" s="240">
        <v>5192111.16</v>
      </c>
    </row>
    <row r="11" spans="1:3" x14ac:dyDescent="0.2">
      <c r="A11" t="s">
        <v>774</v>
      </c>
      <c r="B11" s="240">
        <v>282214.99</v>
      </c>
      <c r="C11" s="240">
        <v>292574.98</v>
      </c>
    </row>
    <row r="12" spans="1:3" x14ac:dyDescent="0.2">
      <c r="A12" t="s">
        <v>775</v>
      </c>
      <c r="B12" s="240">
        <v>641018.56999999995</v>
      </c>
      <c r="C12" s="240">
        <v>348082.74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7068470.0300000003</v>
      </c>
      <c r="C13" s="231">
        <f>SUM(C10:C12)</f>
        <v>5832768.8800000008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2427523.0500000003</v>
      </c>
      <c r="C18" s="229">
        <f>'DOE25'!G198+'DOE25'!G216+'DOE25'!G234+'DOE25'!G277+'DOE25'!G296+'DOE25'!G315</f>
        <v>1847571.17</v>
      </c>
    </row>
    <row r="19" spans="1:3" x14ac:dyDescent="0.2">
      <c r="A19" t="s">
        <v>773</v>
      </c>
      <c r="B19" s="240">
        <v>1073714.18</v>
      </c>
      <c r="C19" s="240">
        <v>703002.73</v>
      </c>
    </row>
    <row r="20" spans="1:3" x14ac:dyDescent="0.2">
      <c r="A20" t="s">
        <v>774</v>
      </c>
      <c r="B20" s="240">
        <v>1306070.95</v>
      </c>
      <c r="C20" s="240">
        <v>1134052.77</v>
      </c>
    </row>
    <row r="21" spans="1:3" x14ac:dyDescent="0.2">
      <c r="A21" t="s">
        <v>775</v>
      </c>
      <c r="B21" s="240">
        <v>47737.919999999998</v>
      </c>
      <c r="C21" s="240">
        <v>10515.67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2427523.0499999998</v>
      </c>
      <c r="C22" s="231">
        <f>SUM(C19:C21)</f>
        <v>1847571.17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482298.85</v>
      </c>
      <c r="C27" s="234">
        <f>'DOE25'!G199+'DOE25'!G217+'DOE25'!G235+'DOE25'!G278+'DOE25'!G297+'DOE25'!G316</f>
        <v>304744.18</v>
      </c>
    </row>
    <row r="28" spans="1:3" x14ac:dyDescent="0.2">
      <c r="A28" t="s">
        <v>773</v>
      </c>
      <c r="B28" s="240">
        <v>432239.32</v>
      </c>
      <c r="C28" s="240">
        <v>288813.94</v>
      </c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>
        <v>50059.53</v>
      </c>
      <c r="C30" s="240">
        <v>15930.24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482298.85</v>
      </c>
      <c r="C31" s="231">
        <f>SUM(C28:C30)</f>
        <v>304744.18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454961.51</v>
      </c>
      <c r="C36" s="235">
        <f>'DOE25'!G200+'DOE25'!G218+'DOE25'!G236+'DOE25'!G279+'DOE25'!G298+'DOE25'!G317</f>
        <v>84148.23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454961.51</v>
      </c>
      <c r="C39" s="240">
        <v>84148.23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454961.51</v>
      </c>
      <c r="C40" s="231">
        <f>SUM(C37:C39)</f>
        <v>84148.23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 xml:space="preserve">               CONWAY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19614611.310000002</v>
      </c>
      <c r="D5" s="20">
        <f>SUM('DOE25'!L197:L200)+SUM('DOE25'!L215:L218)+SUM('DOE25'!L233:L236)-F5-G5</f>
        <v>19199213.390000004</v>
      </c>
      <c r="E5" s="243"/>
      <c r="F5" s="255">
        <f>SUM('DOE25'!J197:J200)+SUM('DOE25'!J215:J218)+SUM('DOE25'!J233:J236)</f>
        <v>403042.29000000004</v>
      </c>
      <c r="G5" s="53">
        <f>SUM('DOE25'!K197:K200)+SUM('DOE25'!K215:K218)+SUM('DOE25'!K233:K236)</f>
        <v>12355.630000000001</v>
      </c>
      <c r="H5" s="259"/>
    </row>
    <row r="6" spans="1:9" x14ac:dyDescent="0.2">
      <c r="A6" s="32">
        <v>2100</v>
      </c>
      <c r="B6" t="s">
        <v>795</v>
      </c>
      <c r="C6" s="245">
        <f t="shared" si="0"/>
        <v>2384566.44</v>
      </c>
      <c r="D6" s="20">
        <f>'DOE25'!L202+'DOE25'!L220+'DOE25'!L238-F6-G6</f>
        <v>2380626.4300000002</v>
      </c>
      <c r="E6" s="243"/>
      <c r="F6" s="255">
        <f>'DOE25'!J202+'DOE25'!J220+'DOE25'!J238</f>
        <v>3721.01</v>
      </c>
      <c r="G6" s="53">
        <f>'DOE25'!K202+'DOE25'!K220+'DOE25'!K238</f>
        <v>219</v>
      </c>
      <c r="H6" s="259"/>
    </row>
    <row r="7" spans="1:9" x14ac:dyDescent="0.2">
      <c r="A7" s="32">
        <v>2200</v>
      </c>
      <c r="B7" t="s">
        <v>828</v>
      </c>
      <c r="C7" s="245">
        <f t="shared" si="0"/>
        <v>569798.54</v>
      </c>
      <c r="D7" s="20">
        <f>'DOE25'!L203+'DOE25'!L221+'DOE25'!L239-F7-G7</f>
        <v>565890.84000000008</v>
      </c>
      <c r="E7" s="243"/>
      <c r="F7" s="255">
        <f>'DOE25'!J203+'DOE25'!J221+'DOE25'!J239</f>
        <v>3767.7</v>
      </c>
      <c r="G7" s="53">
        <f>'DOE25'!K203+'DOE25'!K221+'DOE25'!K239</f>
        <v>140</v>
      </c>
      <c r="H7" s="259"/>
    </row>
    <row r="8" spans="1:9" x14ac:dyDescent="0.2">
      <c r="A8" s="32">
        <v>2300</v>
      </c>
      <c r="B8" t="s">
        <v>796</v>
      </c>
      <c r="C8" s="245">
        <f t="shared" si="0"/>
        <v>888196.07000000007</v>
      </c>
      <c r="D8" s="243"/>
      <c r="E8" s="20">
        <f>'DOE25'!L204+'DOE25'!L222+'DOE25'!L240-F8-G8-D9-D11</f>
        <v>882689.81</v>
      </c>
      <c r="F8" s="255">
        <f>'DOE25'!J204+'DOE25'!J222+'DOE25'!J240</f>
        <v>0</v>
      </c>
      <c r="G8" s="53">
        <f>'DOE25'!K204+'DOE25'!K222+'DOE25'!K240</f>
        <v>5506.26</v>
      </c>
      <c r="H8" s="259"/>
    </row>
    <row r="9" spans="1:9" x14ac:dyDescent="0.2">
      <c r="A9" s="32">
        <v>2310</v>
      </c>
      <c r="B9" t="s">
        <v>812</v>
      </c>
      <c r="C9" s="245">
        <f t="shared" si="0"/>
        <v>131376.76999999999</v>
      </c>
      <c r="D9" s="244">
        <v>131376.76999999999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23920</v>
      </c>
      <c r="D10" s="243"/>
      <c r="E10" s="244">
        <f>31420-7500</f>
        <v>23920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265529.96999999997</v>
      </c>
      <c r="D11" s="244">
        <v>265529.96999999997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1696684.5899999999</v>
      </c>
      <c r="D12" s="20">
        <f>'DOE25'!L205+'DOE25'!L223+'DOE25'!L241-F12-G12</f>
        <v>1662602.15</v>
      </c>
      <c r="E12" s="243"/>
      <c r="F12" s="255">
        <f>'DOE25'!J205+'DOE25'!J223+'DOE25'!J241</f>
        <v>13703.26</v>
      </c>
      <c r="G12" s="53">
        <f>'DOE25'!K205+'DOE25'!K223+'DOE25'!K241</f>
        <v>20379.18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3921978.77</v>
      </c>
      <c r="D14" s="20">
        <f>'DOE25'!L207+'DOE25'!L225+'DOE25'!L243-F14-G14</f>
        <v>3740376.4</v>
      </c>
      <c r="E14" s="243"/>
      <c r="F14" s="255">
        <f>'DOE25'!J207+'DOE25'!J225+'DOE25'!J243</f>
        <v>181602.37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813072.59000000008</v>
      </c>
      <c r="D15" s="20">
        <f>'DOE25'!L208+'DOE25'!L226+'DOE25'!L244-F15-G15</f>
        <v>727517.59000000008</v>
      </c>
      <c r="E15" s="243"/>
      <c r="F15" s="255">
        <f>'DOE25'!J208+'DOE25'!J226+'DOE25'!J244</f>
        <v>85555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2872.3999999999996</v>
      </c>
      <c r="D16" s="243"/>
      <c r="E16" s="20">
        <f>'DOE25'!L209+'DOE25'!L227+'DOE25'!L245-F16-G16</f>
        <v>2872.3999999999996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2625442.86</v>
      </c>
      <c r="D25" s="243"/>
      <c r="E25" s="243"/>
      <c r="F25" s="258"/>
      <c r="G25" s="256"/>
      <c r="H25" s="257">
        <f>'DOE25'!L260+'DOE25'!L261+'DOE25'!L341+'DOE25'!L342</f>
        <v>2625442.86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538274.66</v>
      </c>
      <c r="D29" s="20">
        <f>'DOE25'!L358+'DOE25'!L359+'DOE25'!L360-'DOE25'!I367-F29-G29</f>
        <v>538036.61</v>
      </c>
      <c r="E29" s="243"/>
      <c r="F29" s="255">
        <f>'DOE25'!J358+'DOE25'!J359+'DOE25'!J360</f>
        <v>238.05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1630764.07</v>
      </c>
      <c r="D31" s="20">
        <f>'DOE25'!L290+'DOE25'!L309+'DOE25'!L328+'DOE25'!L333+'DOE25'!L334+'DOE25'!L335-F31-G31</f>
        <v>1548680.4500000002</v>
      </c>
      <c r="E31" s="243"/>
      <c r="F31" s="255">
        <f>'DOE25'!J290+'DOE25'!J309+'DOE25'!J328+'DOE25'!J333+'DOE25'!J334+'DOE25'!J335</f>
        <v>78390.960000000006</v>
      </c>
      <c r="G31" s="53">
        <f>'DOE25'!K290+'DOE25'!K309+'DOE25'!K328+'DOE25'!K333+'DOE25'!K334+'DOE25'!K335</f>
        <v>3692.66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30759850.599999998</v>
      </c>
      <c r="E33" s="246">
        <f>SUM(E5:E31)</f>
        <v>909482.21000000008</v>
      </c>
      <c r="F33" s="246">
        <f>SUM(F5:F31)</f>
        <v>770020.64000000013</v>
      </c>
      <c r="G33" s="246">
        <f>SUM(G5:G31)</f>
        <v>42292.729999999996</v>
      </c>
      <c r="H33" s="246">
        <f>SUM(H5:H31)</f>
        <v>2625442.86</v>
      </c>
    </row>
    <row r="35" spans="2:8" ht="12" thickBot="1" x14ac:dyDescent="0.25">
      <c r="B35" s="253" t="s">
        <v>841</v>
      </c>
      <c r="D35" s="254">
        <f>E33</f>
        <v>909482.21000000008</v>
      </c>
      <c r="E35" s="249"/>
    </row>
    <row r="36" spans="2:8" ht="12" thickTop="1" x14ac:dyDescent="0.2">
      <c r="B36" t="s">
        <v>809</v>
      </c>
      <c r="D36" s="20">
        <f>D33</f>
        <v>30759850.599999998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87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CONWAY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2490560.5699999998</v>
      </c>
      <c r="D8" s="95">
        <f>'DOE25'!G9</f>
        <v>221543.42</v>
      </c>
      <c r="E8" s="95">
        <f>'DOE25'!H9</f>
        <v>0</v>
      </c>
      <c r="F8" s="95">
        <f>'DOE25'!I9</f>
        <v>0</v>
      </c>
      <c r="G8" s="95">
        <f>'DOE25'!J9</f>
        <v>1610709.1600000001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769921.74</v>
      </c>
      <c r="D11" s="95">
        <f>'DOE25'!G12</f>
        <v>178489.48</v>
      </c>
      <c r="E11" s="95">
        <f>'DOE25'!H12</f>
        <v>0</v>
      </c>
      <c r="F11" s="95">
        <f>'DOE25'!I12</f>
        <v>1354165.05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252662.44</v>
      </c>
      <c r="D12" s="95">
        <f>'DOE25'!G13</f>
        <v>78166.77</v>
      </c>
      <c r="E12" s="95">
        <f>'DOE25'!H13</f>
        <v>491127.21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30850.25</v>
      </c>
      <c r="D13" s="95">
        <f>'DOE25'!G14</f>
        <v>2078.77</v>
      </c>
      <c r="E13" s="95">
        <f>'DOE25'!H14</f>
        <v>6648.86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39167.69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2531.6999999999998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3546526.6999999997</v>
      </c>
      <c r="D18" s="41">
        <f>SUM(D8:D17)</f>
        <v>519446.13000000006</v>
      </c>
      <c r="E18" s="41">
        <f>SUM(E8:E17)</f>
        <v>497776.07</v>
      </c>
      <c r="F18" s="41">
        <f>SUM(F8:F17)</f>
        <v>1354165.05</v>
      </c>
      <c r="G18" s="41">
        <f>SUM(G8:G17)</f>
        <v>1610709.1600000001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1532654.53</v>
      </c>
      <c r="D21" s="95">
        <f>'DOE25'!G22</f>
        <v>456467.05</v>
      </c>
      <c r="E21" s="95">
        <f>'DOE25'!H22</f>
        <v>290565.07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42744.87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28853.39</v>
      </c>
      <c r="D27" s="95">
        <f>'DOE25'!G28</f>
        <v>23811.39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1604252.79</v>
      </c>
      <c r="D31" s="41">
        <f>SUM(D21:D30)</f>
        <v>480278.44</v>
      </c>
      <c r="E31" s="41">
        <f>SUM(E21:E30)</f>
        <v>290565.07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39167.69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229349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207211</v>
      </c>
      <c r="F47" s="95">
        <f>'DOE25'!I48</f>
        <v>1354165.05</v>
      </c>
      <c r="G47" s="95">
        <f>'DOE25'!J48</f>
        <v>1610709.1600000001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1712924.91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1942273.91</v>
      </c>
      <c r="D50" s="41">
        <f>SUM(D34:D49)</f>
        <v>39167.69</v>
      </c>
      <c r="E50" s="41">
        <f>SUM(E34:E49)</f>
        <v>207211</v>
      </c>
      <c r="F50" s="41">
        <f>SUM(F34:F49)</f>
        <v>1354165.05</v>
      </c>
      <c r="G50" s="41">
        <f>SUM(G34:G49)</f>
        <v>1610709.1600000001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3546526.7</v>
      </c>
      <c r="D51" s="41">
        <f>D50+D31</f>
        <v>519446.13</v>
      </c>
      <c r="E51" s="41">
        <f>E50+E31</f>
        <v>497776.07</v>
      </c>
      <c r="F51" s="41">
        <f>F50+F31</f>
        <v>1354165.05</v>
      </c>
      <c r="G51" s="41">
        <f>G50+G31</f>
        <v>1610709.1600000001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14929044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9788337.8399999999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47591.32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5550.81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10627.41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249106.18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545996.39</v>
      </c>
      <c r="D61" s="95">
        <f>SUM('DOE25'!G98:G110)</f>
        <v>271.43</v>
      </c>
      <c r="E61" s="95">
        <f>SUM('DOE25'!H98:H110)</f>
        <v>206088.8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10387476.360000001</v>
      </c>
      <c r="D62" s="130">
        <f>SUM(D57:D61)</f>
        <v>249377.61</v>
      </c>
      <c r="E62" s="130">
        <f>SUM(E57:E61)</f>
        <v>206088.8</v>
      </c>
      <c r="F62" s="130">
        <f>SUM(F57:F61)</f>
        <v>0</v>
      </c>
      <c r="G62" s="130">
        <f>SUM(G57:G61)</f>
        <v>10627.41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25316520.359999999</v>
      </c>
      <c r="D63" s="22">
        <f>D56+D62</f>
        <v>249377.61</v>
      </c>
      <c r="E63" s="22">
        <f>E56+E62</f>
        <v>206088.8</v>
      </c>
      <c r="F63" s="22">
        <f>F56+F62</f>
        <v>0</v>
      </c>
      <c r="G63" s="22">
        <f>G56+G62</f>
        <v>10627.41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2998114.1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3418880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15434.81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6432428.9099999992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1060664.08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228025.88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4750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30431.31</v>
      </c>
      <c r="D77" s="95">
        <f>SUM('DOE25'!G131:G135)</f>
        <v>7859.94</v>
      </c>
      <c r="E77" s="95">
        <f>SUM('DOE25'!H131:H135)</f>
        <v>49469.99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1319121.27</v>
      </c>
      <c r="D78" s="130">
        <f>SUM(D72:D77)</f>
        <v>7859.94</v>
      </c>
      <c r="E78" s="130">
        <f>SUM(E72:E77)</f>
        <v>54219.99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7751550.1799999997</v>
      </c>
      <c r="D81" s="130">
        <f>SUM(D79:D80)+D78+D70</f>
        <v>7859.94</v>
      </c>
      <c r="E81" s="130">
        <f>SUM(E79:E80)+E78+E70</f>
        <v>54219.99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233243.7</v>
      </c>
      <c r="D88" s="95">
        <f>SUM('DOE25'!G153:G161)</f>
        <v>318235.34000000003</v>
      </c>
      <c r="E88" s="95">
        <f>SUM('DOE25'!H153:H161)</f>
        <v>1400373.6700000002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765.25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234008.95</v>
      </c>
      <c r="D91" s="131">
        <f>SUM(D85:D90)</f>
        <v>318235.34000000003</v>
      </c>
      <c r="E91" s="131">
        <f>SUM(E85:E90)</f>
        <v>1400373.6700000002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3300001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178489.48</v>
      </c>
      <c r="E96" s="95">
        <f>'DOE25'!H179</f>
        <v>0</v>
      </c>
      <c r="F96" s="95">
        <f>'DOE25'!I179</f>
        <v>0</v>
      </c>
      <c r="G96" s="95">
        <f>'DOE25'!J179</f>
        <v>81429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22889.62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22889.62</v>
      </c>
      <c r="D103" s="86">
        <f>SUM(D93:D102)</f>
        <v>178489.48</v>
      </c>
      <c r="E103" s="86">
        <f>SUM(E93:E102)</f>
        <v>0</v>
      </c>
      <c r="F103" s="86">
        <f>SUM(F93:F102)</f>
        <v>3300001</v>
      </c>
      <c r="G103" s="86">
        <f>SUM(G93:G102)</f>
        <v>81429</v>
      </c>
    </row>
    <row r="104" spans="1:7" ht="12.75" thickTop="1" thickBot="1" x14ac:dyDescent="0.25">
      <c r="A104" s="33" t="s">
        <v>759</v>
      </c>
      <c r="C104" s="86">
        <f>C63+C81+C91+C103</f>
        <v>33324969.109999999</v>
      </c>
      <c r="D104" s="86">
        <f>D63+D81+D91+D103</f>
        <v>753962.37</v>
      </c>
      <c r="E104" s="86">
        <f>E63+E81+E91+E103</f>
        <v>1660682.4600000002</v>
      </c>
      <c r="F104" s="86">
        <f>F63+F81+F91+F103</f>
        <v>3300001</v>
      </c>
      <c r="G104" s="86">
        <f>G63+G81+G103</f>
        <v>92056.41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13082743.300000001</v>
      </c>
      <c r="D109" s="24" t="s">
        <v>286</v>
      </c>
      <c r="E109" s="95">
        <f>('DOE25'!L276)+('DOE25'!L295)+('DOE25'!L314)</f>
        <v>593792.17999999993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5124797.7</v>
      </c>
      <c r="D110" s="24" t="s">
        <v>286</v>
      </c>
      <c r="E110" s="95">
        <f>('DOE25'!L277)+('DOE25'!L296)+('DOE25'!L315)</f>
        <v>93999.39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889615.24</v>
      </c>
      <c r="D111" s="24" t="s">
        <v>286</v>
      </c>
      <c r="E111" s="95">
        <f>('DOE25'!L278)+('DOE25'!L297)+('DOE25'!L316)</f>
        <v>81812.53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517455.06999999995</v>
      </c>
      <c r="D112" s="24" t="s">
        <v>286</v>
      </c>
      <c r="E112" s="95">
        <f>+('DOE25'!L279)+('DOE25'!L298)+('DOE25'!L317)</f>
        <v>230440.87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47936.53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19614611.309999999</v>
      </c>
      <c r="D115" s="86">
        <f>SUM(D109:D114)</f>
        <v>0</v>
      </c>
      <c r="E115" s="86">
        <f>SUM(E109:E114)</f>
        <v>1047981.5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2384566.44</v>
      </c>
      <c r="D118" s="24" t="s">
        <v>286</v>
      </c>
      <c r="E118" s="95">
        <f>+('DOE25'!L281)+('DOE25'!L300)+('DOE25'!L319)</f>
        <v>278277.53000000003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569798.54</v>
      </c>
      <c r="D119" s="24" t="s">
        <v>286</v>
      </c>
      <c r="E119" s="95">
        <f>+('DOE25'!L282)+('DOE25'!L301)+('DOE25'!L320)</f>
        <v>290000.36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1285102.81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1696684.5899999999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3921978.77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813072.59000000008</v>
      </c>
      <c r="D124" s="24" t="s">
        <v>286</v>
      </c>
      <c r="E124" s="95">
        <f>+('DOE25'!L287)+('DOE25'!L306)+('DOE25'!L325)</f>
        <v>14504.68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2872.3999999999996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753962.37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10674076.140000001</v>
      </c>
      <c r="D128" s="86">
        <f>SUM(D118:D127)</f>
        <v>753962.37</v>
      </c>
      <c r="E128" s="86">
        <f>SUM(E118:E127)</f>
        <v>582782.57000000007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1995000.95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1937700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687742.86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22889.62</v>
      </c>
    </row>
    <row r="135" spans="1:7" x14ac:dyDescent="0.2">
      <c r="A135" t="s">
        <v>233</v>
      </c>
      <c r="B135" s="32" t="s">
        <v>234</v>
      </c>
      <c r="C135" s="95">
        <f>'DOE25'!L263</f>
        <v>178489.48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521.20000000000005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91318.62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216.59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-10627.409999999989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2885361.34</v>
      </c>
      <c r="D144" s="141">
        <f>SUM(D130:D143)</f>
        <v>0</v>
      </c>
      <c r="E144" s="141">
        <f>SUM(E130:E143)</f>
        <v>0</v>
      </c>
      <c r="F144" s="141">
        <f>SUM(F130:F143)</f>
        <v>1995000.95</v>
      </c>
      <c r="G144" s="141">
        <f>SUM(G130:G143)</f>
        <v>22889.62</v>
      </c>
    </row>
    <row r="145" spans="1:9" ht="12.75" thickTop="1" thickBot="1" x14ac:dyDescent="0.25">
      <c r="A145" s="33" t="s">
        <v>244</v>
      </c>
      <c r="C145" s="86">
        <f>(C115+C128+C144)</f>
        <v>33174048.789999999</v>
      </c>
      <c r="D145" s="86">
        <f>(D115+D128+D144)</f>
        <v>753962.37</v>
      </c>
      <c r="E145" s="86">
        <f>(E115+E128+E144)</f>
        <v>1630764.07</v>
      </c>
      <c r="F145" s="86">
        <f>(F115+F128+F144)</f>
        <v>1995000.95</v>
      </c>
      <c r="G145" s="86">
        <f>(G115+G128+G144)</f>
        <v>22889.62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20</v>
      </c>
      <c r="E151" s="153">
        <f>'DOE25'!I490</f>
        <v>20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12/03</v>
      </c>
      <c r="C152" s="152" t="str">
        <f>'DOE25'!G491</f>
        <v>7/16</v>
      </c>
      <c r="D152" s="152" t="str">
        <f>'DOE25'!H491</f>
        <v>7/17</v>
      </c>
      <c r="E152" s="152" t="str">
        <f>'DOE25'!I491</f>
        <v>6/18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1/2024</v>
      </c>
      <c r="C153" s="152" t="str">
        <f>'DOE25'!G492</f>
        <v>6/2037</v>
      </c>
      <c r="D153" s="152" t="str">
        <f>'DOE25'!H492</f>
        <v>8/2037</v>
      </c>
      <c r="E153" s="152" t="str">
        <f>'DOE25'!I492</f>
        <v>8/2038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42120000</v>
      </c>
      <c r="C154" s="137">
        <f>'DOE25'!G493</f>
        <v>1837000</v>
      </c>
      <c r="D154" s="137">
        <f>'DOE25'!H493</f>
        <v>1871000</v>
      </c>
      <c r="E154" s="137">
        <f>'DOE25'!I493</f>
        <v>1122900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</v>
      </c>
      <c r="C155" s="137">
        <f>'DOE25'!G494</f>
        <v>2.5</v>
      </c>
      <c r="D155" s="137">
        <f>'DOE25'!H494</f>
        <v>2.6640000000000001</v>
      </c>
      <c r="E155" s="137">
        <f>'DOE25'!I494</f>
        <v>3.24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12910000</v>
      </c>
      <c r="C156" s="137">
        <f>'DOE25'!G495</f>
        <v>1837000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14747000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1871000</v>
      </c>
      <c r="E157" s="137">
        <f>'DOE25'!I496</f>
        <v>1122900</v>
      </c>
      <c r="F157" s="137">
        <f>'DOE25'!J496</f>
        <v>0</v>
      </c>
      <c r="G157" s="138">
        <f t="shared" ref="G157:G164" si="0">SUM(B157:F157)</f>
        <v>2993900</v>
      </c>
    </row>
    <row r="158" spans="1:9" x14ac:dyDescent="0.2">
      <c r="A158" s="22" t="s">
        <v>34</v>
      </c>
      <c r="B158" s="137">
        <f>'DOE25'!F497</f>
        <v>1850000</v>
      </c>
      <c r="C158" s="137">
        <f>'DOE25'!G497</f>
        <v>87700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1937700</v>
      </c>
    </row>
    <row r="159" spans="1:9" x14ac:dyDescent="0.2">
      <c r="A159" s="22" t="s">
        <v>35</v>
      </c>
      <c r="B159" s="137">
        <f>'DOE25'!F498</f>
        <v>11060000</v>
      </c>
      <c r="C159" s="137">
        <f>'DOE25'!G498</f>
        <v>1749300</v>
      </c>
      <c r="D159" s="137">
        <f>'DOE25'!H498</f>
        <v>1871000</v>
      </c>
      <c r="E159" s="137">
        <f>'DOE25'!I498</f>
        <v>1122900</v>
      </c>
      <c r="F159" s="137">
        <f>'DOE25'!J498</f>
        <v>0</v>
      </c>
      <c r="G159" s="138">
        <f t="shared" si="0"/>
        <v>15803200</v>
      </c>
    </row>
    <row r="160" spans="1:9" x14ac:dyDescent="0.2">
      <c r="A160" s="22" t="s">
        <v>36</v>
      </c>
      <c r="B160" s="137">
        <f>'DOE25'!F499</f>
        <v>1505652.76</v>
      </c>
      <c r="C160" s="137">
        <f>'DOE25'!G499</f>
        <v>556474.75</v>
      </c>
      <c r="D160" s="137">
        <f>'DOE25'!H499</f>
        <v>739685.5</v>
      </c>
      <c r="E160" s="137">
        <f>'DOE25'!I499</f>
        <v>473553.15</v>
      </c>
      <c r="F160" s="137">
        <f>'DOE25'!J499</f>
        <v>0</v>
      </c>
      <c r="G160" s="138">
        <f t="shared" si="0"/>
        <v>3275366.1599999997</v>
      </c>
    </row>
    <row r="161" spans="1:7" x14ac:dyDescent="0.2">
      <c r="A161" s="22" t="s">
        <v>37</v>
      </c>
      <c r="B161" s="137">
        <f>'DOE25'!F500</f>
        <v>12565652.76</v>
      </c>
      <c r="C161" s="137">
        <f>'DOE25'!G500</f>
        <v>2305774.75</v>
      </c>
      <c r="D161" s="137">
        <f>'DOE25'!H500</f>
        <v>2610685.5</v>
      </c>
      <c r="E161" s="137">
        <f>'DOE25'!I500</f>
        <v>1596453.15</v>
      </c>
      <c r="F161" s="137">
        <f>'DOE25'!J500</f>
        <v>0</v>
      </c>
      <c r="G161" s="138">
        <f t="shared" si="0"/>
        <v>19078566.159999996</v>
      </c>
    </row>
    <row r="162" spans="1:7" x14ac:dyDescent="0.2">
      <c r="A162" s="22" t="s">
        <v>38</v>
      </c>
      <c r="B162" s="137">
        <f>'DOE25'!F501</f>
        <v>1850000</v>
      </c>
      <c r="C162" s="137">
        <f>'DOE25'!G501</f>
        <v>95000</v>
      </c>
      <c r="D162" s="137">
        <f>'DOE25'!H501</f>
        <v>91000</v>
      </c>
      <c r="E162" s="137">
        <f>'DOE25'!I501</f>
        <v>0</v>
      </c>
      <c r="F162" s="137">
        <f>'DOE25'!J501</f>
        <v>0</v>
      </c>
      <c r="G162" s="138">
        <f t="shared" si="0"/>
        <v>2036000</v>
      </c>
    </row>
    <row r="163" spans="1:7" x14ac:dyDescent="0.2">
      <c r="A163" s="22" t="s">
        <v>39</v>
      </c>
      <c r="B163" s="137">
        <f>'DOE25'!F502</f>
        <v>481849.5</v>
      </c>
      <c r="C163" s="137">
        <f>'DOE25'!G502</f>
        <v>64778</v>
      </c>
      <c r="D163" s="137">
        <f>'DOE25'!H502</f>
        <v>80300.5</v>
      </c>
      <c r="E163" s="137">
        <f>'DOE25'!I502</f>
        <v>32997.14</v>
      </c>
      <c r="F163" s="137">
        <f>'DOE25'!J502</f>
        <v>0</v>
      </c>
      <c r="G163" s="138">
        <f t="shared" si="0"/>
        <v>659925.14</v>
      </c>
    </row>
    <row r="164" spans="1:7" x14ac:dyDescent="0.2">
      <c r="A164" s="22" t="s">
        <v>246</v>
      </c>
      <c r="B164" s="137">
        <f>'DOE25'!F503</f>
        <v>2331849.5</v>
      </c>
      <c r="C164" s="137">
        <f>'DOE25'!G503</f>
        <v>159778</v>
      </c>
      <c r="D164" s="137">
        <f>'DOE25'!H503</f>
        <v>171300.5</v>
      </c>
      <c r="E164" s="137">
        <f>'DOE25'!I503</f>
        <v>32997.14</v>
      </c>
      <c r="F164" s="137">
        <f>'DOE25'!J503</f>
        <v>0</v>
      </c>
      <c r="G164" s="138">
        <f t="shared" si="0"/>
        <v>2695925.14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 xml:space="preserve">               CONWAY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17769</v>
      </c>
    </row>
    <row r="5" spans="1:4" x14ac:dyDescent="0.2">
      <c r="B5" t="s">
        <v>698</v>
      </c>
      <c r="C5" s="179">
        <f>IF('DOE25'!G665+'DOE25'!G670=0,0,ROUND('DOE25'!G672,0))</f>
        <v>18430</v>
      </c>
    </row>
    <row r="6" spans="1:4" x14ac:dyDescent="0.2">
      <c r="B6" t="s">
        <v>62</v>
      </c>
      <c r="C6" s="179">
        <f>IF('DOE25'!H665+'DOE25'!H670=0,0,ROUND('DOE25'!H672,0))</f>
        <v>16777</v>
      </c>
    </row>
    <row r="7" spans="1:4" x14ac:dyDescent="0.2">
      <c r="B7" t="s">
        <v>699</v>
      </c>
      <c r="C7" s="179">
        <f>IF('DOE25'!I665+'DOE25'!I670=0,0,ROUND('DOE25'!I672,0))</f>
        <v>17463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13676535</v>
      </c>
      <c r="D10" s="182">
        <f>ROUND((C10/$C$28)*100,1)</f>
        <v>41.3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5218797</v>
      </c>
      <c r="D11" s="182">
        <f>ROUND((C11/$C$28)*100,1)</f>
        <v>15.8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971428</v>
      </c>
      <c r="D12" s="182">
        <f>ROUND((C12/$C$28)*100,1)</f>
        <v>2.9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747896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2662844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859799</v>
      </c>
      <c r="D16" s="182">
        <f t="shared" si="0"/>
        <v>2.6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1287975</v>
      </c>
      <c r="D17" s="182">
        <f t="shared" si="0"/>
        <v>3.9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1696685</v>
      </c>
      <c r="D18" s="182">
        <f t="shared" si="0"/>
        <v>5.0999999999999996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3921979</v>
      </c>
      <c r="D20" s="182">
        <f t="shared" si="0"/>
        <v>11.8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827577</v>
      </c>
      <c r="D21" s="182">
        <f t="shared" si="0"/>
        <v>2.5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47937</v>
      </c>
      <c r="D24" s="182">
        <f t="shared" si="0"/>
        <v>0.1</v>
      </c>
    </row>
    <row r="25" spans="1:4" x14ac:dyDescent="0.2">
      <c r="A25">
        <v>5120</v>
      </c>
      <c r="B25" t="s">
        <v>714</v>
      </c>
      <c r="C25" s="179">
        <f>ROUND('DOE25'!L261+'DOE25'!L342,0)</f>
        <v>687743</v>
      </c>
      <c r="D25" s="182">
        <f t="shared" si="0"/>
        <v>2.1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504584.39</v>
      </c>
      <c r="D27" s="182">
        <f t="shared" si="0"/>
        <v>1.5</v>
      </c>
    </row>
    <row r="28" spans="1:4" x14ac:dyDescent="0.2">
      <c r="B28" s="187" t="s">
        <v>717</v>
      </c>
      <c r="C28" s="180">
        <f>SUM(C10:C27)</f>
        <v>33111779.390000001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1995001</v>
      </c>
    </row>
    <row r="30" spans="1:4" x14ac:dyDescent="0.2">
      <c r="B30" s="187" t="s">
        <v>723</v>
      </c>
      <c r="C30" s="180">
        <f>SUM(C28:C29)</f>
        <v>35106780.390000001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1937700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14929044</v>
      </c>
      <c r="D35" s="182">
        <f t="shared" ref="D35:D40" si="1">ROUND((C35/$C$41)*100,1)</f>
        <v>41.9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10910293.57</v>
      </c>
      <c r="D36" s="182">
        <f t="shared" si="1"/>
        <v>30.6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6416994</v>
      </c>
      <c r="D37" s="182">
        <f t="shared" si="1"/>
        <v>18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1396636</v>
      </c>
      <c r="D38" s="182">
        <f t="shared" si="1"/>
        <v>3.9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1952618</v>
      </c>
      <c r="D39" s="182">
        <f t="shared" si="1"/>
        <v>5.5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35605585.57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2993900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29" sqref="C29:M2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 xml:space="preserve">               CONWAY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19</v>
      </c>
      <c r="B4" s="219">
        <v>3</v>
      </c>
      <c r="C4" s="286" t="s">
        <v>921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2018-09-03T14:11:36Z</cp:lastPrinted>
  <dcterms:created xsi:type="dcterms:W3CDTF">1997-12-04T19:04:30Z</dcterms:created>
  <dcterms:modified xsi:type="dcterms:W3CDTF">2018-11-13T19:32:41Z</dcterms:modified>
</cp:coreProperties>
</file>