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11565" yWindow="-15" windowWidth="11625" windowHeight="108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65" i="1" l="1"/>
  <c r="F60" i="1"/>
  <c r="F121" i="1"/>
  <c r="F24" i="1"/>
  <c r="C66" i="2"/>
  <c r="C37" i="10"/>
  <c r="B19" i="12"/>
  <c r="I197" i="1"/>
  <c r="H204" i="1"/>
  <c r="H207" i="1"/>
  <c r="G207" i="1"/>
  <c r="G205" i="1"/>
  <c r="G203" i="1"/>
  <c r="G198" i="1"/>
  <c r="G197" i="1"/>
  <c r="H198" i="1"/>
  <c r="F205" i="1"/>
  <c r="K204" i="1"/>
  <c r="I204" i="1"/>
  <c r="I203" i="1"/>
  <c r="J202" i="1"/>
  <c r="F6" i="13"/>
  <c r="J197" i="1"/>
  <c r="D9" i="13"/>
  <c r="H523" i="1"/>
  <c r="F160" i="1"/>
  <c r="C88" i="2"/>
  <c r="F110" i="1"/>
  <c r="F31" i="1"/>
  <c r="F10" i="1"/>
  <c r="H155" i="1"/>
  <c r="H154" i="1"/>
  <c r="H13" i="1"/>
  <c r="H19" i="1"/>
  <c r="G619" i="1"/>
  <c r="G179" i="1"/>
  <c r="G12" i="1"/>
  <c r="D11" i="2"/>
  <c r="F12" i="1"/>
  <c r="C11" i="2" s="1"/>
  <c r="K263" i="1"/>
  <c r="I211" i="1"/>
  <c r="F495" i="1"/>
  <c r="C43" i="2"/>
  <c r="H595" i="1"/>
  <c r="K595" i="1" s="1"/>
  <c r="H358" i="1"/>
  <c r="G97" i="1"/>
  <c r="F123" i="1"/>
  <c r="C72" i="2" s="1"/>
  <c r="C78" i="2" s="1"/>
  <c r="H24" i="1"/>
  <c r="H22" i="1"/>
  <c r="H543" i="1"/>
  <c r="K523" i="1"/>
  <c r="K524" i="1" s="1"/>
  <c r="J523" i="1"/>
  <c r="I523" i="1"/>
  <c r="F523" i="1"/>
  <c r="K521" i="1"/>
  <c r="J521" i="1"/>
  <c r="J524" i="1" s="1"/>
  <c r="G521" i="1"/>
  <c r="I277" i="1"/>
  <c r="I521" i="1"/>
  <c r="H277" i="1"/>
  <c r="H521" i="1"/>
  <c r="H524" i="1" s="1"/>
  <c r="H591" i="1"/>
  <c r="K591" i="1" s="1"/>
  <c r="K598" i="1" s="1"/>
  <c r="G647" i="1" s="1"/>
  <c r="J591" i="1"/>
  <c r="H398" i="1"/>
  <c r="L398" i="1" s="1"/>
  <c r="H396" i="1"/>
  <c r="B20" i="12"/>
  <c r="B10" i="12"/>
  <c r="B21" i="12"/>
  <c r="B22" i="12" s="1"/>
  <c r="H576" i="1"/>
  <c r="H575" i="1"/>
  <c r="I575" i="1"/>
  <c r="J465" i="1"/>
  <c r="H282" i="1"/>
  <c r="L282" i="1" s="1"/>
  <c r="F207" i="1"/>
  <c r="F203" i="1"/>
  <c r="L203" i="1"/>
  <c r="I202" i="1"/>
  <c r="G202" i="1"/>
  <c r="F202" i="1"/>
  <c r="G234" i="1"/>
  <c r="C18" i="12" s="1"/>
  <c r="F198" i="1"/>
  <c r="L198" i="1" s="1"/>
  <c r="H233" i="1"/>
  <c r="L233" i="1"/>
  <c r="K197" i="1"/>
  <c r="G5" i="13" s="1"/>
  <c r="H159" i="1"/>
  <c r="H393" i="1"/>
  <c r="H29" i="1"/>
  <c r="E23" i="2"/>
  <c r="C45" i="2"/>
  <c r="F14" i="1"/>
  <c r="C13" i="2"/>
  <c r="F40" i="2"/>
  <c r="G655" i="1"/>
  <c r="J655" i="1" s="1"/>
  <c r="F48" i="2"/>
  <c r="E48" i="2"/>
  <c r="D48" i="2"/>
  <c r="C48" i="2"/>
  <c r="F47" i="2"/>
  <c r="D47" i="2"/>
  <c r="C47" i="2"/>
  <c r="F44" i="2"/>
  <c r="E44" i="2"/>
  <c r="D44" i="2"/>
  <c r="C44" i="2"/>
  <c r="F43" i="2"/>
  <c r="E43" i="2"/>
  <c r="D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 s="1"/>
  <c r="I458" i="1"/>
  <c r="J39" i="1"/>
  <c r="C68" i="2"/>
  <c r="B2" i="13"/>
  <c r="F8" i="13"/>
  <c r="L222" i="1"/>
  <c r="L240" i="1"/>
  <c r="D39" i="13"/>
  <c r="F13" i="13"/>
  <c r="G13" i="13"/>
  <c r="L206" i="1"/>
  <c r="L224" i="1"/>
  <c r="L242" i="1"/>
  <c r="F16" i="13"/>
  <c r="G16" i="13"/>
  <c r="L209" i="1"/>
  <c r="L227" i="1"/>
  <c r="C125" i="2" s="1"/>
  <c r="L245" i="1"/>
  <c r="L199" i="1"/>
  <c r="L200" i="1"/>
  <c r="L215" i="1"/>
  <c r="L216" i="1"/>
  <c r="L217" i="1"/>
  <c r="L218" i="1"/>
  <c r="C112" i="2"/>
  <c r="L234" i="1"/>
  <c r="L235" i="1"/>
  <c r="L236" i="1"/>
  <c r="G6" i="13"/>
  <c r="L220" i="1"/>
  <c r="L238" i="1"/>
  <c r="F7" i="13"/>
  <c r="G7" i="13"/>
  <c r="L221" i="1"/>
  <c r="L239" i="1"/>
  <c r="F12" i="13"/>
  <c r="G12" i="13"/>
  <c r="L205" i="1"/>
  <c r="C121" i="2"/>
  <c r="L223" i="1"/>
  <c r="L241" i="1"/>
  <c r="F14" i="13"/>
  <c r="G14" i="13"/>
  <c r="L225" i="1"/>
  <c r="L243" i="1"/>
  <c r="F15" i="13"/>
  <c r="G15" i="13"/>
  <c r="L226" i="1"/>
  <c r="F17" i="13"/>
  <c r="G17" i="13"/>
  <c r="L251" i="1"/>
  <c r="D17" i="13" s="1"/>
  <c r="C17" i="13" s="1"/>
  <c r="F18" i="13"/>
  <c r="D18" i="13" s="1"/>
  <c r="C18" i="13" s="1"/>
  <c r="G18" i="13"/>
  <c r="L252" i="1"/>
  <c r="C114" i="2"/>
  <c r="F19" i="13"/>
  <c r="D19" i="13" s="1"/>
  <c r="C19" i="13" s="1"/>
  <c r="G19" i="13"/>
  <c r="L253" i="1"/>
  <c r="F29" i="13"/>
  <c r="G29" i="13"/>
  <c r="L359" i="1"/>
  <c r="L360" i="1"/>
  <c r="I367" i="1"/>
  <c r="I369" i="1"/>
  <c r="H634" i="1" s="1"/>
  <c r="J290" i="1"/>
  <c r="J309" i="1"/>
  <c r="J328" i="1"/>
  <c r="K290" i="1"/>
  <c r="K309" i="1"/>
  <c r="K328" i="1"/>
  <c r="L276" i="1"/>
  <c r="L278" i="1"/>
  <c r="L279" i="1"/>
  <c r="L281" i="1"/>
  <c r="L283" i="1"/>
  <c r="L284" i="1"/>
  <c r="L290" i="1" s="1"/>
  <c r="L285" i="1"/>
  <c r="L286" i="1"/>
  <c r="L287" i="1"/>
  <c r="L288" i="1"/>
  <c r="E125" i="2" s="1"/>
  <c r="L295" i="1"/>
  <c r="L296" i="1"/>
  <c r="L297" i="1"/>
  <c r="L298" i="1"/>
  <c r="E112" i="2" s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E111" i="2"/>
  <c r="L317" i="1"/>
  <c r="L319" i="1"/>
  <c r="L320" i="1"/>
  <c r="L321" i="1"/>
  <c r="L322" i="1"/>
  <c r="L323" i="1"/>
  <c r="L324" i="1"/>
  <c r="L325" i="1"/>
  <c r="L326" i="1"/>
  <c r="L333" i="1"/>
  <c r="L334" i="1"/>
  <c r="L335" i="1"/>
  <c r="C24" i="10" s="1"/>
  <c r="L260" i="1"/>
  <c r="L261" i="1"/>
  <c r="C132" i="2" s="1"/>
  <c r="L341" i="1"/>
  <c r="L342" i="1"/>
  <c r="E132" i="2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A31" i="12" s="1"/>
  <c r="B31" i="12"/>
  <c r="C31" i="12"/>
  <c r="B9" i="12"/>
  <c r="B13" i="12"/>
  <c r="C13" i="12"/>
  <c r="C22" i="12"/>
  <c r="B1" i="12"/>
  <c r="L387" i="1"/>
  <c r="L388" i="1"/>
  <c r="L389" i="1"/>
  <c r="L393" i="1"/>
  <c r="C138" i="2" s="1"/>
  <c r="L390" i="1"/>
  <c r="L391" i="1"/>
  <c r="L392" i="1"/>
  <c r="L395" i="1"/>
  <c r="L397" i="1"/>
  <c r="L399" i="1"/>
  <c r="L400" i="1"/>
  <c r="L403" i="1"/>
  <c r="L404" i="1"/>
  <c r="L405" i="1"/>
  <c r="L406" i="1"/>
  <c r="L266" i="1"/>
  <c r="J60" i="1"/>
  <c r="J112" i="1"/>
  <c r="G56" i="2"/>
  <c r="G59" i="2"/>
  <c r="G62" i="2" s="1"/>
  <c r="G63" i="2" s="1"/>
  <c r="G61" i="2"/>
  <c r="F2" i="11"/>
  <c r="L613" i="1"/>
  <c r="L612" i="1"/>
  <c r="L611" i="1"/>
  <c r="C40" i="10"/>
  <c r="G60" i="1"/>
  <c r="H60" i="1"/>
  <c r="I60" i="1"/>
  <c r="F79" i="1"/>
  <c r="F94" i="1"/>
  <c r="C58" i="2" s="1"/>
  <c r="H79" i="1"/>
  <c r="H94" i="1"/>
  <c r="E58" i="2"/>
  <c r="H111" i="1"/>
  <c r="H112" i="1" s="1"/>
  <c r="I111" i="1"/>
  <c r="I112" i="1" s="1"/>
  <c r="J111" i="1"/>
  <c r="G121" i="1"/>
  <c r="G136" i="1"/>
  <c r="G140" i="1" s="1"/>
  <c r="H121" i="1"/>
  <c r="H136" i="1"/>
  <c r="I121" i="1"/>
  <c r="I140" i="1" s="1"/>
  <c r="I136" i="1"/>
  <c r="J121" i="1"/>
  <c r="J136" i="1"/>
  <c r="J140" i="1" s="1"/>
  <c r="F147" i="1"/>
  <c r="F162" i="1"/>
  <c r="F169" i="1"/>
  <c r="G147" i="1"/>
  <c r="G162" i="1"/>
  <c r="H147" i="1"/>
  <c r="E85" i="2"/>
  <c r="I147" i="1"/>
  <c r="I162" i="1"/>
  <c r="L250" i="1"/>
  <c r="L332" i="1"/>
  <c r="E113" i="2" s="1"/>
  <c r="L254" i="1"/>
  <c r="L268" i="1"/>
  <c r="L269" i="1"/>
  <c r="L349" i="1"/>
  <c r="L350" i="1"/>
  <c r="I665" i="1"/>
  <c r="I670" i="1"/>
  <c r="C42" i="10"/>
  <c r="L374" i="1"/>
  <c r="F130" i="2" s="1"/>
  <c r="F144" i="2" s="1"/>
  <c r="F145" i="2" s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L347" i="1"/>
  <c r="K351" i="1"/>
  <c r="L522" i="1"/>
  <c r="F550" i="1" s="1"/>
  <c r="L526" i="1"/>
  <c r="L527" i="1"/>
  <c r="G550" i="1"/>
  <c r="L528" i="1"/>
  <c r="G551" i="1"/>
  <c r="L531" i="1"/>
  <c r="H549" i="1"/>
  <c r="L532" i="1"/>
  <c r="H550" i="1" s="1"/>
  <c r="L533" i="1"/>
  <c r="H551" i="1"/>
  <c r="L536" i="1"/>
  <c r="L537" i="1"/>
  <c r="I550" i="1"/>
  <c r="L538" i="1"/>
  <c r="I551" i="1" s="1"/>
  <c r="L541" i="1"/>
  <c r="L542" i="1"/>
  <c r="J550" i="1"/>
  <c r="K270" i="1"/>
  <c r="J270" i="1"/>
  <c r="I270" i="1"/>
  <c r="H270" i="1"/>
  <c r="G270" i="1"/>
  <c r="F270" i="1"/>
  <c r="A1" i="2"/>
  <c r="A2" i="2"/>
  <c r="D8" i="2"/>
  <c r="E8" i="2"/>
  <c r="F8" i="2"/>
  <c r="I439" i="1"/>
  <c r="C9" i="2"/>
  <c r="D9" i="2"/>
  <c r="E9" i="2"/>
  <c r="F9" i="2"/>
  <c r="I440" i="1"/>
  <c r="J10" i="1" s="1"/>
  <c r="G9" i="2" s="1"/>
  <c r="C10" i="2"/>
  <c r="E11" i="2"/>
  <c r="F11" i="2"/>
  <c r="I441" i="1"/>
  <c r="I446" i="1" s="1"/>
  <c r="G642" i="1" s="1"/>
  <c r="C12" i="2"/>
  <c r="D12" i="2"/>
  <c r="E12" i="2"/>
  <c r="E18" i="2" s="1"/>
  <c r="F12" i="2"/>
  <c r="I442" i="1"/>
  <c r="J13" i="1" s="1"/>
  <c r="G12" i="2" s="1"/>
  <c r="D13" i="2"/>
  <c r="D18" i="2" s="1"/>
  <c r="E13" i="2"/>
  <c r="F13" i="2"/>
  <c r="I443" i="1"/>
  <c r="J14" i="1"/>
  <c r="G13" i="2" s="1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F18" i="2" s="1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E31" i="2" s="1"/>
  <c r="F22" i="2"/>
  <c r="F51" i="2"/>
  <c r="I449" i="1"/>
  <c r="J23" i="1" s="1"/>
  <c r="G22" i="2" s="1"/>
  <c r="D23" i="2"/>
  <c r="F23" i="2"/>
  <c r="F31" i="2" s="1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F50" i="2" s="1"/>
  <c r="I454" i="1"/>
  <c r="J49" i="1"/>
  <c r="G48" i="2" s="1"/>
  <c r="I456" i="1"/>
  <c r="J43" i="1"/>
  <c r="G42" i="2" s="1"/>
  <c r="I457" i="1"/>
  <c r="J37" i="1"/>
  <c r="D56" i="2"/>
  <c r="E56" i="2"/>
  <c r="E57" i="2"/>
  <c r="E63" i="2"/>
  <c r="C59" i="2"/>
  <c r="D59" i="2"/>
  <c r="E59" i="2"/>
  <c r="E62" i="2" s="1"/>
  <c r="F59" i="2"/>
  <c r="F62" i="2" s="1"/>
  <c r="D61" i="2"/>
  <c r="E61" i="2"/>
  <c r="F61" i="2"/>
  <c r="C69" i="2"/>
  <c r="C70" i="2" s="1"/>
  <c r="C81" i="2" s="1"/>
  <c r="D69" i="2"/>
  <c r="D70" i="2" s="1"/>
  <c r="E69" i="2"/>
  <c r="E70" i="2"/>
  <c r="F69" i="2"/>
  <c r="F70" i="2" s="1"/>
  <c r="G69" i="2"/>
  <c r="G70" i="2"/>
  <c r="F72" i="2"/>
  <c r="F78" i="2" s="1"/>
  <c r="F81" i="2" s="1"/>
  <c r="C73" i="2"/>
  <c r="F73" i="2"/>
  <c r="C74" i="2"/>
  <c r="C75" i="2"/>
  <c r="C76" i="2"/>
  <c r="E76" i="2"/>
  <c r="E78" i="2" s="1"/>
  <c r="F76" i="2"/>
  <c r="C77" i="2"/>
  <c r="D77" i="2"/>
  <c r="D78" i="2"/>
  <c r="E77" i="2"/>
  <c r="F77" i="2"/>
  <c r="G77" i="2"/>
  <c r="G78" i="2" s="1"/>
  <c r="C79" i="2"/>
  <c r="D79" i="2"/>
  <c r="E79" i="2"/>
  <c r="C80" i="2"/>
  <c r="E80" i="2"/>
  <c r="C85" i="2"/>
  <c r="C91" i="2" s="1"/>
  <c r="D85" i="2"/>
  <c r="F85" i="2"/>
  <c r="C87" i="2"/>
  <c r="E87" i="2"/>
  <c r="F87" i="2"/>
  <c r="F91" i="2"/>
  <c r="D88" i="2"/>
  <c r="F88" i="2"/>
  <c r="C89" i="2"/>
  <c r="D89" i="2"/>
  <c r="E89" i="2"/>
  <c r="F89" i="2"/>
  <c r="C90" i="2"/>
  <c r="C93" i="2"/>
  <c r="C103" i="2" s="1"/>
  <c r="F93" i="2"/>
  <c r="C94" i="2"/>
  <c r="F94" i="2"/>
  <c r="D96" i="2"/>
  <c r="E96" i="2"/>
  <c r="F96" i="2"/>
  <c r="G96" i="2"/>
  <c r="C97" i="2"/>
  <c r="D97" i="2"/>
  <c r="D103" i="2" s="1"/>
  <c r="E97" i="2"/>
  <c r="F97" i="2"/>
  <c r="F103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D115" i="2"/>
  <c r="F115" i="2"/>
  <c r="G115" i="2"/>
  <c r="E119" i="2"/>
  <c r="F128" i="2"/>
  <c r="G128" i="2"/>
  <c r="D134" i="2"/>
  <c r="D144" i="2"/>
  <c r="F134" i="2"/>
  <c r="K419" i="1"/>
  <c r="G134" i="2"/>
  <c r="G144" i="2" s="1"/>
  <c r="K427" i="1"/>
  <c r="K434" i="1" s="1"/>
  <c r="K433" i="1"/>
  <c r="L263" i="1"/>
  <c r="C135" i="2"/>
  <c r="L264" i="1"/>
  <c r="C136" i="2"/>
  <c r="L265" i="1"/>
  <c r="C137" i="2" s="1"/>
  <c r="E137" i="2"/>
  <c r="C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G159" i="2" s="1"/>
  <c r="E159" i="2"/>
  <c r="F159" i="2"/>
  <c r="B160" i="2"/>
  <c r="C160" i="2"/>
  <c r="D160" i="2"/>
  <c r="E160" i="2"/>
  <c r="F160" i="2"/>
  <c r="G160" i="2" s="1"/>
  <c r="F500" i="1"/>
  <c r="B161" i="2"/>
  <c r="G500" i="1"/>
  <c r="C161" i="2" s="1"/>
  <c r="H500" i="1"/>
  <c r="D161" i="2" s="1"/>
  <c r="G161" i="2" s="1"/>
  <c r="I500" i="1"/>
  <c r="E161" i="2"/>
  <c r="J500" i="1"/>
  <c r="F161" i="2"/>
  <c r="B162" i="2"/>
  <c r="C162" i="2"/>
  <c r="D162" i="2"/>
  <c r="E162" i="2"/>
  <c r="G162" i="2"/>
  <c r="F162" i="2"/>
  <c r="B163" i="2"/>
  <c r="C163" i="2"/>
  <c r="D163" i="2"/>
  <c r="E163" i="2"/>
  <c r="F163" i="2"/>
  <c r="F503" i="1"/>
  <c r="B164" i="2"/>
  <c r="G503" i="1"/>
  <c r="H503" i="1"/>
  <c r="D164" i="2"/>
  <c r="I503" i="1"/>
  <c r="E164" i="2" s="1"/>
  <c r="J503" i="1"/>
  <c r="F164" i="2"/>
  <c r="G19" i="1"/>
  <c r="G618" i="1" s="1"/>
  <c r="I19" i="1"/>
  <c r="G620" i="1"/>
  <c r="G32" i="1"/>
  <c r="I32" i="1"/>
  <c r="I52" i="1" s="1"/>
  <c r="I51" i="1"/>
  <c r="G625" i="1"/>
  <c r="F177" i="1"/>
  <c r="I177" i="1"/>
  <c r="F183" i="1"/>
  <c r="G183" i="1"/>
  <c r="H183" i="1"/>
  <c r="H192" i="1" s="1"/>
  <c r="I183" i="1"/>
  <c r="J183" i="1"/>
  <c r="J192" i="1"/>
  <c r="F188" i="1"/>
  <c r="G188" i="1"/>
  <c r="H188" i="1"/>
  <c r="I188" i="1"/>
  <c r="I192" i="1" s="1"/>
  <c r="F229" i="1"/>
  <c r="G229" i="1"/>
  <c r="H229" i="1"/>
  <c r="I229" i="1"/>
  <c r="J229" i="1"/>
  <c r="K229" i="1"/>
  <c r="F247" i="1"/>
  <c r="G247" i="1"/>
  <c r="I247" i="1"/>
  <c r="I257" i="1" s="1"/>
  <c r="I271" i="1" s="1"/>
  <c r="J247" i="1"/>
  <c r="K247" i="1"/>
  <c r="F256" i="1"/>
  <c r="G256" i="1"/>
  <c r="H256" i="1"/>
  <c r="I256" i="1"/>
  <c r="J256" i="1"/>
  <c r="K256" i="1"/>
  <c r="F290" i="1"/>
  <c r="G290" i="1"/>
  <c r="H290" i="1"/>
  <c r="H338" i="1" s="1"/>
  <c r="H352" i="1" s="1"/>
  <c r="I290" i="1"/>
  <c r="I338" i="1" s="1"/>
  <c r="I352" i="1" s="1"/>
  <c r="F309" i="1"/>
  <c r="G309" i="1"/>
  <c r="G338" i="1"/>
  <c r="G352" i="1" s="1"/>
  <c r="H309" i="1"/>
  <c r="I309" i="1"/>
  <c r="F328" i="1"/>
  <c r="F338" i="1" s="1"/>
  <c r="F352" i="1" s="1"/>
  <c r="G328" i="1"/>
  <c r="H328" i="1"/>
  <c r="I328" i="1"/>
  <c r="F337" i="1"/>
  <c r="G337" i="1"/>
  <c r="H337" i="1"/>
  <c r="I337" i="1"/>
  <c r="J337" i="1"/>
  <c r="K337" i="1"/>
  <c r="F362" i="1"/>
  <c r="G362" i="1"/>
  <c r="I362" i="1"/>
  <c r="G634" i="1" s="1"/>
  <c r="J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I393" i="1"/>
  <c r="I408" i="1" s="1"/>
  <c r="F401" i="1"/>
  <c r="F408" i="1" s="1"/>
  <c r="H643" i="1" s="1"/>
  <c r="G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H434" i="1" s="1"/>
  <c r="I419" i="1"/>
  <c r="J419" i="1"/>
  <c r="L421" i="1"/>
  <c r="L422" i="1"/>
  <c r="L423" i="1"/>
  <c r="L424" i="1"/>
  <c r="L425" i="1"/>
  <c r="L426" i="1"/>
  <c r="F427" i="1"/>
  <c r="G427" i="1"/>
  <c r="G434" i="1" s="1"/>
  <c r="H427" i="1"/>
  <c r="I427" i="1"/>
  <c r="J427" i="1"/>
  <c r="L429" i="1"/>
  <c r="L430" i="1"/>
  <c r="L431" i="1"/>
  <c r="L432" i="1"/>
  <c r="F433" i="1"/>
  <c r="F434" i="1"/>
  <c r="G433" i="1"/>
  <c r="H433" i="1"/>
  <c r="I433" i="1"/>
  <c r="J433" i="1"/>
  <c r="F446" i="1"/>
  <c r="F459" i="1"/>
  <c r="G446" i="1"/>
  <c r="H446" i="1"/>
  <c r="F452" i="1"/>
  <c r="G452" i="1"/>
  <c r="H452" i="1"/>
  <c r="H460" i="1"/>
  <c r="I470" i="1"/>
  <c r="I474" i="1"/>
  <c r="J474" i="1"/>
  <c r="K496" i="1"/>
  <c r="K497" i="1"/>
  <c r="K498" i="1"/>
  <c r="K499" i="1"/>
  <c r="K501" i="1"/>
  <c r="K502" i="1"/>
  <c r="F517" i="1"/>
  <c r="G517" i="1"/>
  <c r="H517" i="1"/>
  <c r="I517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I544" i="1"/>
  <c r="J544" i="1"/>
  <c r="K544" i="1"/>
  <c r="L557" i="1"/>
  <c r="L558" i="1"/>
  <c r="L559" i="1"/>
  <c r="F560" i="1"/>
  <c r="G560" i="1"/>
  <c r="H560" i="1"/>
  <c r="I560" i="1"/>
  <c r="I571" i="1" s="1"/>
  <c r="J560" i="1"/>
  <c r="J571" i="1" s="1"/>
  <c r="K560" i="1"/>
  <c r="L562" i="1"/>
  <c r="L565" i="1" s="1"/>
  <c r="L563" i="1"/>
  <c r="L564" i="1"/>
  <c r="F565" i="1"/>
  <c r="F571" i="1"/>
  <c r="G565" i="1"/>
  <c r="H565" i="1"/>
  <c r="I565" i="1"/>
  <c r="J565" i="1"/>
  <c r="K565" i="1"/>
  <c r="K571" i="1" s="1"/>
  <c r="L567" i="1"/>
  <c r="L568" i="1"/>
  <c r="L569" i="1"/>
  <c r="F570" i="1"/>
  <c r="G570" i="1"/>
  <c r="H570" i="1"/>
  <c r="H571" i="1" s="1"/>
  <c r="I570" i="1"/>
  <c r="J570" i="1"/>
  <c r="K570" i="1"/>
  <c r="I577" i="1"/>
  <c r="I578" i="1"/>
  <c r="I579" i="1"/>
  <c r="I580" i="1"/>
  <c r="I581" i="1"/>
  <c r="I582" i="1"/>
  <c r="I583" i="1"/>
  <c r="I584" i="1"/>
  <c r="I585" i="1"/>
  <c r="I586" i="1"/>
  <c r="I587" i="1"/>
  <c r="K592" i="1"/>
  <c r="K593" i="1"/>
  <c r="K594" i="1"/>
  <c r="K596" i="1"/>
  <c r="K597" i="1"/>
  <c r="I598" i="1"/>
  <c r="H650" i="1" s="1"/>
  <c r="K602" i="1"/>
  <c r="K603" i="1"/>
  <c r="I605" i="1"/>
  <c r="J605" i="1"/>
  <c r="F614" i="1"/>
  <c r="G614" i="1"/>
  <c r="H614" i="1"/>
  <c r="I614" i="1"/>
  <c r="J614" i="1"/>
  <c r="K614" i="1"/>
  <c r="H630" i="1"/>
  <c r="H636" i="1"/>
  <c r="H638" i="1"/>
  <c r="G639" i="1"/>
  <c r="G641" i="1"/>
  <c r="G643" i="1"/>
  <c r="G644" i="1"/>
  <c r="G650" i="1"/>
  <c r="G652" i="1"/>
  <c r="H652" i="1"/>
  <c r="G653" i="1"/>
  <c r="H653" i="1"/>
  <c r="G654" i="1"/>
  <c r="J654" i="1" s="1"/>
  <c r="H654" i="1"/>
  <c r="H655" i="1"/>
  <c r="I476" i="1"/>
  <c r="H625" i="1" s="1"/>
  <c r="J625" i="1" s="1"/>
  <c r="H140" i="1"/>
  <c r="G36" i="2"/>
  <c r="J653" i="1"/>
  <c r="C6" i="10"/>
  <c r="F31" i="13"/>
  <c r="G169" i="1"/>
  <c r="C5" i="10"/>
  <c r="G16" i="2"/>
  <c r="G571" i="1"/>
  <c r="A40" i="12"/>
  <c r="C13" i="10"/>
  <c r="H32" i="1"/>
  <c r="E142" i="2"/>
  <c r="G663" i="1"/>
  <c r="L614" i="1"/>
  <c r="L419" i="1"/>
  <c r="G645" i="1"/>
  <c r="H620" i="1"/>
  <c r="J620" i="1" s="1"/>
  <c r="F56" i="2"/>
  <c r="F63" i="2" s="1"/>
  <c r="F104" i="2" s="1"/>
  <c r="J650" i="1"/>
  <c r="F22" i="13"/>
  <c r="C22" i="13" s="1"/>
  <c r="E122" i="2"/>
  <c r="E118" i="2"/>
  <c r="E109" i="2"/>
  <c r="C111" i="2"/>
  <c r="J549" i="1"/>
  <c r="I524" i="1"/>
  <c r="I545" i="1" s="1"/>
  <c r="F460" i="1"/>
  <c r="J9" i="1"/>
  <c r="H401" i="1"/>
  <c r="H408" i="1" s="1"/>
  <c r="H644" i="1" s="1"/>
  <c r="J644" i="1"/>
  <c r="L396" i="1"/>
  <c r="D12" i="13"/>
  <c r="C12" i="13" s="1"/>
  <c r="H48" i="1"/>
  <c r="E47" i="2"/>
  <c r="C113" i="2"/>
  <c r="L427" i="1"/>
  <c r="G81" i="2"/>
  <c r="H544" i="1"/>
  <c r="L543" i="1"/>
  <c r="J551" i="1" s="1"/>
  <c r="J552" i="1"/>
  <c r="F136" i="1"/>
  <c r="L401" i="1"/>
  <c r="C139" i="2"/>
  <c r="F32" i="1"/>
  <c r="C23" i="2"/>
  <c r="C31" i="2" s="1"/>
  <c r="F111" i="1"/>
  <c r="C61" i="2"/>
  <c r="F5" i="13"/>
  <c r="D5" i="13" s="1"/>
  <c r="J211" i="1"/>
  <c r="L204" i="1"/>
  <c r="K211" i="1"/>
  <c r="K257" i="1"/>
  <c r="K271" i="1" s="1"/>
  <c r="C9" i="12"/>
  <c r="A13" i="12"/>
  <c r="L197" i="1"/>
  <c r="G211" i="1"/>
  <c r="G257" i="1" s="1"/>
  <c r="G271" i="1" s="1"/>
  <c r="G163" i="2"/>
  <c r="E103" i="2"/>
  <c r="H51" i="1"/>
  <c r="G8" i="2"/>
  <c r="C130" i="2"/>
  <c r="C131" i="2"/>
  <c r="G8" i="13"/>
  <c r="L207" i="1"/>
  <c r="I576" i="1"/>
  <c r="H663" i="1"/>
  <c r="J652" i="1"/>
  <c r="K500" i="1"/>
  <c r="L560" i="1"/>
  <c r="H461" i="1"/>
  <c r="H641" i="1"/>
  <c r="J641" i="1"/>
  <c r="G408" i="1"/>
  <c r="H645" i="1"/>
  <c r="J645" i="1" s="1"/>
  <c r="L270" i="1"/>
  <c r="L529" i="1"/>
  <c r="G549" i="1"/>
  <c r="L407" i="1"/>
  <c r="C140" i="2" s="1"/>
  <c r="L277" i="1"/>
  <c r="J338" i="1"/>
  <c r="J352" i="1"/>
  <c r="L202" i="1"/>
  <c r="J643" i="1"/>
  <c r="J545" i="1"/>
  <c r="G192" i="1"/>
  <c r="F19" i="1"/>
  <c r="G617" i="1" s="1"/>
  <c r="C8" i="2"/>
  <c r="C25" i="10"/>
  <c r="L337" i="1"/>
  <c r="C57" i="2"/>
  <c r="C62" i="2"/>
  <c r="L328" i="1"/>
  <c r="K338" i="1"/>
  <c r="K352" i="1" s="1"/>
  <c r="F521" i="1"/>
  <c r="L521" i="1" s="1"/>
  <c r="B18" i="12"/>
  <c r="A22" i="12" s="1"/>
  <c r="F211" i="1"/>
  <c r="F257" i="1"/>
  <c r="F271" i="1" s="1"/>
  <c r="H362" i="1"/>
  <c r="L358" i="1"/>
  <c r="D6" i="13"/>
  <c r="C6" i="13"/>
  <c r="G661" i="1"/>
  <c r="D29" i="13"/>
  <c r="C29" i="13" s="1"/>
  <c r="F661" i="1"/>
  <c r="H661" i="1"/>
  <c r="I661" i="1" s="1"/>
  <c r="D127" i="2"/>
  <c r="D128" i="2" s="1"/>
  <c r="D145" i="2" s="1"/>
  <c r="C17" i="10"/>
  <c r="C120" i="2"/>
  <c r="L544" i="1"/>
  <c r="L408" i="1"/>
  <c r="H646" i="1" s="1"/>
  <c r="F33" i="13"/>
  <c r="E110" i="2"/>
  <c r="C11" i="10"/>
  <c r="C20" i="10"/>
  <c r="C123" i="2"/>
  <c r="D14" i="13"/>
  <c r="C14" i="13" s="1"/>
  <c r="C141" i="2"/>
  <c r="G637" i="1"/>
  <c r="J468" i="1"/>
  <c r="F549" i="1"/>
  <c r="G472" i="1"/>
  <c r="H635" i="1" s="1"/>
  <c r="G474" i="1"/>
  <c r="C67" i="2"/>
  <c r="C56" i="2"/>
  <c r="C63" i="2" s="1"/>
  <c r="F112" i="1"/>
  <c r="C35" i="10"/>
  <c r="F192" i="1" l="1"/>
  <c r="F50" i="1"/>
  <c r="L256" i="1"/>
  <c r="J470" i="1"/>
  <c r="J476" i="1" s="1"/>
  <c r="H626" i="1" s="1"/>
  <c r="H631" i="1"/>
  <c r="H637" i="1"/>
  <c r="H193" i="1"/>
  <c r="J637" i="1"/>
  <c r="H545" i="1"/>
  <c r="G104" i="2"/>
  <c r="C5" i="13"/>
  <c r="L434" i="1"/>
  <c r="G638" i="1" s="1"/>
  <c r="J638" i="1" s="1"/>
  <c r="G145" i="2"/>
  <c r="E50" i="2"/>
  <c r="E51" i="2" s="1"/>
  <c r="L523" i="1"/>
  <c r="G552" i="1"/>
  <c r="C109" i="2"/>
  <c r="C115" i="2" s="1"/>
  <c r="E16" i="13"/>
  <c r="C16" i="13" s="1"/>
  <c r="F524" i="1"/>
  <c r="F545" i="1" s="1"/>
  <c r="C10" i="10"/>
  <c r="C18" i="2"/>
  <c r="G624" i="1"/>
  <c r="H52" i="1"/>
  <c r="H619" i="1" s="1"/>
  <c r="J619" i="1" s="1"/>
  <c r="G640" i="1"/>
  <c r="J640" i="1" s="1"/>
  <c r="G459" i="1"/>
  <c r="G460" i="1" s="1"/>
  <c r="L433" i="1"/>
  <c r="J434" i="1"/>
  <c r="I452" i="1"/>
  <c r="C26" i="10"/>
  <c r="C143" i="2"/>
  <c r="C144" i="2" s="1"/>
  <c r="H169" i="1"/>
  <c r="J193" i="1"/>
  <c r="G635" i="1"/>
  <c r="J635" i="1" s="1"/>
  <c r="C27" i="10"/>
  <c r="E130" i="2"/>
  <c r="E144" i="2" s="1"/>
  <c r="C29" i="10"/>
  <c r="E131" i="2"/>
  <c r="L351" i="1"/>
  <c r="H25" i="13"/>
  <c r="C32" i="10"/>
  <c r="E120" i="2"/>
  <c r="L309" i="1"/>
  <c r="L338" i="1" s="1"/>
  <c r="L352" i="1" s="1"/>
  <c r="E124" i="2"/>
  <c r="D7" i="13"/>
  <c r="C7" i="13" s="1"/>
  <c r="C16" i="10"/>
  <c r="C119" i="2"/>
  <c r="C15" i="10"/>
  <c r="C118" i="2"/>
  <c r="C12" i="10"/>
  <c r="G40" i="1"/>
  <c r="E8" i="13"/>
  <c r="L382" i="1"/>
  <c r="G636" i="1" s="1"/>
  <c r="J636" i="1" s="1"/>
  <c r="K549" i="1"/>
  <c r="E121" i="2"/>
  <c r="J257" i="1"/>
  <c r="C23" i="10"/>
  <c r="H598" i="1"/>
  <c r="L570" i="1"/>
  <c r="L571" i="1" s="1"/>
  <c r="G158" i="2"/>
  <c r="G157" i="2"/>
  <c r="G103" i="2"/>
  <c r="D91" i="2"/>
  <c r="D81" i="2"/>
  <c r="E81" i="2"/>
  <c r="J12" i="1"/>
  <c r="H552" i="1"/>
  <c r="K550" i="1"/>
  <c r="G38" i="2"/>
  <c r="H244" i="1"/>
  <c r="J598" i="1"/>
  <c r="H651" i="1" s="1"/>
  <c r="K545" i="1"/>
  <c r="G461" i="1"/>
  <c r="H640" i="1" s="1"/>
  <c r="I459" i="1"/>
  <c r="J48" i="1" s="1"/>
  <c r="G47" i="2" s="1"/>
  <c r="C164" i="2"/>
  <c r="G164" i="2" s="1"/>
  <c r="K503" i="1"/>
  <c r="J32" i="1"/>
  <c r="G21" i="2"/>
  <c r="G31" i="2" s="1"/>
  <c r="E114" i="2"/>
  <c r="E115" i="2" s="1"/>
  <c r="E123" i="2"/>
  <c r="E128" i="2" s="1"/>
  <c r="C18" i="10"/>
  <c r="L229" i="1"/>
  <c r="G660" i="1" s="1"/>
  <c r="G664" i="1" s="1"/>
  <c r="C110" i="2"/>
  <c r="E13" i="13"/>
  <c r="C13" i="13" s="1"/>
  <c r="C122" i="2"/>
  <c r="C19" i="10"/>
  <c r="G523" i="1"/>
  <c r="G524" i="1" s="1"/>
  <c r="G545" i="1" s="1"/>
  <c r="D60" i="2"/>
  <c r="D62" i="2" s="1"/>
  <c r="D63" i="2" s="1"/>
  <c r="G111" i="1"/>
  <c r="G112" i="1" s="1"/>
  <c r="G193" i="1" s="1"/>
  <c r="H162" i="1"/>
  <c r="E88" i="2"/>
  <c r="E91" i="2" s="1"/>
  <c r="F461" i="1"/>
  <c r="H639" i="1" s="1"/>
  <c r="J639" i="1" s="1"/>
  <c r="I434" i="1"/>
  <c r="I549" i="1"/>
  <c r="I552" i="1" s="1"/>
  <c r="L539" i="1"/>
  <c r="I169" i="1"/>
  <c r="I193" i="1" s="1"/>
  <c r="G630" i="1" s="1"/>
  <c r="J630" i="1" s="1"/>
  <c r="G31" i="13"/>
  <c r="G33" i="13" s="1"/>
  <c r="B156" i="2"/>
  <c r="G156" i="2" s="1"/>
  <c r="K495" i="1"/>
  <c r="F140" i="1"/>
  <c r="C38" i="10" s="1"/>
  <c r="I669" i="1"/>
  <c r="C104" i="2"/>
  <c r="F51" i="1" l="1"/>
  <c r="C49" i="2"/>
  <c r="C50" i="2" s="1"/>
  <c r="C51" i="2" s="1"/>
  <c r="E145" i="2"/>
  <c r="G628" i="1"/>
  <c r="G468" i="1"/>
  <c r="L244" i="1"/>
  <c r="H247" i="1"/>
  <c r="J271" i="1"/>
  <c r="H604" i="1" s="1"/>
  <c r="H648" i="1"/>
  <c r="I461" i="1"/>
  <c r="H642" i="1" s="1"/>
  <c r="J642" i="1" s="1"/>
  <c r="G629" i="1"/>
  <c r="H468" i="1"/>
  <c r="D104" i="2"/>
  <c r="G11" i="2"/>
  <c r="G18" i="2" s="1"/>
  <c r="J19" i="1"/>
  <c r="G621" i="1" s="1"/>
  <c r="C25" i="13"/>
  <c r="H33" i="13"/>
  <c r="C39" i="10"/>
  <c r="F193" i="1"/>
  <c r="F468" i="1" s="1"/>
  <c r="G50" i="2"/>
  <c r="G51" i="2" s="1"/>
  <c r="E104" i="2"/>
  <c r="H208" i="1"/>
  <c r="H649" i="1"/>
  <c r="D39" i="2"/>
  <c r="D50" i="2" s="1"/>
  <c r="D51" i="2" s="1"/>
  <c r="G51" i="1"/>
  <c r="G633" i="1"/>
  <c r="H472" i="1"/>
  <c r="C8" i="13"/>
  <c r="E33" i="13"/>
  <c r="D35" i="13" s="1"/>
  <c r="G631" i="1"/>
  <c r="J631" i="1" s="1"/>
  <c r="G646" i="1"/>
  <c r="J646" i="1" s="1"/>
  <c r="F551" i="1"/>
  <c r="L524" i="1"/>
  <c r="L545" i="1" s="1"/>
  <c r="C36" i="10"/>
  <c r="I460" i="1"/>
  <c r="J51" i="1"/>
  <c r="D31" i="13"/>
  <c r="C31" i="13" s="1"/>
  <c r="G672" i="1"/>
  <c r="G667" i="1"/>
  <c r="G627" i="1"/>
  <c r="G622" i="1" l="1"/>
  <c r="F52" i="1"/>
  <c r="H617" i="1" s="1"/>
  <c r="J617" i="1" s="1"/>
  <c r="G623" i="1"/>
  <c r="G52" i="1"/>
  <c r="H618" i="1" s="1"/>
  <c r="J618" i="1" s="1"/>
  <c r="H605" i="1"/>
  <c r="F663" i="1"/>
  <c r="I663" i="1" s="1"/>
  <c r="K604" i="1"/>
  <c r="K605" i="1" s="1"/>
  <c r="G648" i="1" s="1"/>
  <c r="J648" i="1" s="1"/>
  <c r="G626" i="1"/>
  <c r="J626" i="1" s="1"/>
  <c r="J52" i="1"/>
  <c r="H621" i="1" s="1"/>
  <c r="J621" i="1" s="1"/>
  <c r="K551" i="1"/>
  <c r="K552" i="1" s="1"/>
  <c r="F552" i="1"/>
  <c r="H633" i="1"/>
  <c r="H474" i="1"/>
  <c r="H662" i="1"/>
  <c r="G651" i="1"/>
  <c r="J651" i="1" s="1"/>
  <c r="L247" i="1"/>
  <c r="H660" i="1" s="1"/>
  <c r="C41" i="10"/>
  <c r="J628" i="1"/>
  <c r="J633" i="1"/>
  <c r="L208" i="1"/>
  <c r="H211" i="1"/>
  <c r="H257" i="1" s="1"/>
  <c r="H271" i="1" s="1"/>
  <c r="H629" i="1"/>
  <c r="J629" i="1" s="1"/>
  <c r="H470" i="1"/>
  <c r="H628" i="1"/>
  <c r="G470" i="1"/>
  <c r="G476" i="1" s="1"/>
  <c r="H623" i="1" s="1"/>
  <c r="F470" i="1"/>
  <c r="H627" i="1"/>
  <c r="J627" i="1" s="1"/>
  <c r="D40" i="10" l="1"/>
  <c r="D37" i="10"/>
  <c r="D35" i="10"/>
  <c r="D38" i="10"/>
  <c r="H647" i="1"/>
  <c r="J647" i="1" s="1"/>
  <c r="G649" i="1"/>
  <c r="J649" i="1" s="1"/>
  <c r="C124" i="2"/>
  <c r="C128" i="2" s="1"/>
  <c r="C145" i="2" s="1"/>
  <c r="C21" i="10"/>
  <c r="F662" i="1"/>
  <c r="I662" i="1" s="1"/>
  <c r="D15" i="13"/>
  <c r="L211" i="1"/>
  <c r="H664" i="1"/>
  <c r="D39" i="10"/>
  <c r="J623" i="1"/>
  <c r="H476" i="1"/>
  <c r="H624" i="1" s="1"/>
  <c r="J624" i="1" s="1"/>
  <c r="D36" i="10"/>
  <c r="H672" i="1" l="1"/>
  <c r="H667" i="1"/>
  <c r="F660" i="1"/>
  <c r="L257" i="1"/>
  <c r="L271" i="1" s="1"/>
  <c r="D41" i="10"/>
  <c r="C15" i="13"/>
  <c r="D33" i="13"/>
  <c r="D36" i="13" s="1"/>
  <c r="D21" i="10"/>
  <c r="C28" i="10"/>
  <c r="F664" i="1" l="1"/>
  <c r="I660" i="1"/>
  <c r="I664" i="1" s="1"/>
  <c r="F472" i="1"/>
  <c r="G632" i="1"/>
  <c r="D11" i="10"/>
  <c r="C30" i="10"/>
  <c r="D22" i="10"/>
  <c r="D25" i="10"/>
  <c r="D17" i="10"/>
  <c r="D24" i="10"/>
  <c r="D13" i="10"/>
  <c r="D20" i="10"/>
  <c r="D10" i="10"/>
  <c r="D15" i="10"/>
  <c r="D18" i="10"/>
  <c r="D16" i="10"/>
  <c r="D23" i="10"/>
  <c r="D26" i="10"/>
  <c r="D27" i="10"/>
  <c r="D19" i="10"/>
  <c r="D12" i="10"/>
  <c r="D28" i="10" l="1"/>
  <c r="H632" i="1"/>
  <c r="J632" i="1" s="1"/>
  <c r="F474" i="1"/>
  <c r="F476" i="1" s="1"/>
  <c r="H622" i="1" s="1"/>
  <c r="J622" i="1" s="1"/>
  <c r="I667" i="1"/>
  <c r="I672" i="1"/>
  <c r="C7" i="10" s="1"/>
  <c r="F667" i="1"/>
  <c r="F672" i="1"/>
  <c r="C4" i="10" s="1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<sst xmlns="http://schemas.openxmlformats.org/spreadsheetml/2006/main" count="3960" uniqueCount="915">
  <si>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</si>
  <si>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</si>
  <si>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</si>
  <si>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</si>
  <si>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</si>
  <si>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</si>
  <si>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</si>
  <si>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</si>
  <si>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</si>
  <si>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</si>
  <si>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</si>
  <si>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</si>
  <si>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</si>
  <si>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</si>
  <si>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</si>
  <si>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</si>
  <si>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</si>
  <si>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</si>
  <si>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</si>
  <si>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</si>
  <si>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</si>
  <si>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</si>
  <si>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</si>
  <si>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</si>
  <si>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</si>
  <si>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</si>
  <si>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</si>
  <si>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</si>
  <si>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</si>
  <si>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</si>
  <si>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</si>
  <si>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</si>
  <si>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</si>
  <si>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</si>
  <si>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</si>
  <si>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</si>
  <si>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</si>
  <si>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</si>
  <si>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</si>
  <si>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</si>
  <si>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</si>
  <si>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</si>
  <si>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</si>
  <si>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</si>
  <si>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</si>
  <si>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</si>
  <si>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</si>
  <si>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</si>
  <si>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</si>
  <si>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</si>
  <si>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</si>
  <si>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</si>
  <si>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</si>
  <si>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</si>
  <si>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</si>
  <si>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</si>
  <si>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</si>
  <si>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</si>
  <si>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</si>
  <si>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</si>
  <si>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</si>
  <si>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</si>
  <si>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</si>
  <si>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</si>
  <si>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</si>
  <si>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</si>
  <si>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</si>
  <si>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</si>
  <si>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</si>
  <si>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</si>
  <si>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</si>
  <si>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</si>
  <si>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</si>
  <si>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</si>
  <si>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</si>
  <si>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</si>
  <si>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</si>
  <si>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</si>
  <si>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</si>
  <si>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</si>
  <si>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</si>
  <si>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</si>
  <si>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</si>
  <si>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</si>
  <si>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</si>
  <si>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</si>
  <si>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</si>
  <si>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</si>
  <si>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</si>
  <si>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</si>
  <si>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</si>
  <si>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</si>
  <si>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</si>
  <si>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</si>
  <si>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</si>
  <si>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</si>
  <si>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</si>
  <si>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</si>
  <si>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</si>
  <si>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</si>
  <si>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</si>
  <si>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</si>
  <si>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</si>
  <si>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</si>
  <si>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</si>
  <si>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</si>
  <si>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</si>
  <si>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</si>
  <si>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</si>
  <si>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</si>
  <si>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</si>
  <si>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</si>
  <si>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</si>
  <si>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</si>
  <si>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</si>
  <si>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</si>
  <si>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</si>
  <si>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</si>
  <si>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</si>
  <si>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</si>
  <si>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</si>
  <si>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</si>
  <si>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</si>
  <si>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</si>
  <si>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</si>
  <si>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</si>
  <si>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</si>
  <si>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</si>
  <si>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</si>
  <si>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</si>
  <si>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</si>
  <si>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</si>
  <si>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</si>
  <si>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</si>
  <si>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</si>
  <si>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</si>
  <si>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</si>
  <si>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</si>
  <si>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</si>
  <si>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</si>
  <si>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</si>
  <si>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</si>
  <si>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</si>
  <si>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</si>
  <si>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</si>
  <si>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</si>
  <si>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</si>
  <si>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</si>
  <si>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</si>
  <si>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</si>
  <si>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</si>
  <si>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</si>
  <si>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</si>
  <si>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</si>
  <si>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</si>
  <si>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</si>
  <si>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</si>
  <si>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</si>
  <si>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</si>
  <si>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</si>
  <si>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</si>
  <si>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</si>
  <si>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</si>
  <si>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</si>
  <si>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</si>
  <si>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</si>
  <si>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</si>
  <si>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</si>
  <si>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</si>
  <si>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</si>
  <si>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</si>
  <si>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</si>
  <si>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</si>
  <si>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</si>
  <si>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</si>
  <si>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</si>
  <si>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</si>
  <si>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</si>
  <si>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</si>
  <si>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</si>
  <si>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</si>
  <si>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</si>
  <si>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</si>
  <si>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</si>
  <si>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</si>
  <si>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</si>
  <si>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</si>
  <si>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</si>
  <si>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</si>
  <si>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</si>
  <si>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</si>
  <si>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</si>
  <si>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</si>
  <si>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</si>
  <si>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</si>
  <si>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</si>
  <si>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</si>
  <si>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</si>
  <si>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</si>
  <si>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</si>
  <si>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</si>
  <si>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</si>
  <si>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</si>
  <si>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</si>
  <si>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</si>
  <si>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</si>
  <si>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</si>
  <si>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</si>
  <si>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</si>
  <si>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</si>
  <si>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</si>
  <si>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</si>
  <si>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</si>
  <si>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</si>
  <si>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</si>
  <si>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</si>
  <si>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</si>
  <si>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</si>
  <si>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</si>
  <si>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</si>
  <si>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</si>
  <si>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</si>
  <si>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</si>
  <si>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</si>
  <si>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</si>
  <si>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</si>
  <si>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</si>
  <si>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</si>
  <si>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</si>
  <si>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</si>
  <si>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</si>
  <si>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</si>
  <si>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</si>
  <si>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</si>
  <si>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</si>
  <si>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</si>
  <si>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</si>
  <si>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</si>
  <si>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</si>
  <si>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</si>
  <si>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</si>
  <si>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</si>
  <si>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</si>
  <si>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</si>
  <si>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</si>
  <si>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</si>
  <si>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</si>
  <si>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</si>
  <si>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</si>
  <si>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</si>
  <si>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</si>
  <si>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</si>
  <si>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</si>
  <si>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</si>
  <si>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</si>
  <si>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</si>
  <si>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</si>
  <si>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</si>
  <si>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</si>
  <si>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</si>
  <si>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</si>
  <si>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</si>
  <si>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</si>
  <si>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</si>
  <si>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</si>
  <si>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</si>
  <si>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</si>
  <si>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</si>
  <si>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</si>
  <si>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</si>
  <si>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</si>
  <si>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</si>
  <si>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</si>
  <si>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</si>
  <si>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</si>
  <si>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</si>
  <si>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</si>
  <si>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</si>
  <si>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</si>
  <si>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</si>
  <si>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</si>
  <si>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</si>
  <si>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</si>
  <si>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</si>
  <si>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</si>
  <si>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</si>
  <si>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</si>
  <si>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</si>
  <si>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</si>
  <si>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</si>
  <si>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</si>
  <si>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</si>
  <si>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</si>
  <si>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</si>
  <si>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</si>
  <si>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</si>
  <si>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</si>
  <si>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</si>
  <si>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</si>
  <si>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</si>
  <si>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</si>
  <si>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</si>
  <si>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</si>
  <si>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</si>
  <si>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</si>
  <si>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</si>
  <si>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</si>
  <si>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</si>
  <si>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</si>
  <si>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</si>
  <si>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</si>
  <si>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</si>
  <si>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</si>
  <si>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</si>
  <si>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</si>
  <si>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</si>
  <si>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</si>
  <si>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</si>
  <si>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</si>
  <si>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</si>
  <si>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</si>
  <si>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</si>
  <si>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</si>
  <si>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</si>
  <si>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</si>
  <si>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</si>
  <si>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</si>
  <si>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</si>
  <si>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</si>
  <si>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</si>
  <si>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</si>
  <si>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</si>
  <si>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</si>
  <si>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</si>
  <si>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</si>
  <si>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</si>
  <si>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</si>
  <si>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</si>
  <si>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</si>
  <si>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</si>
  <si>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</si>
  <si>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</si>
  <si>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</si>
  <si>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</si>
  <si>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</si>
  <si>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</si>
  <si>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</si>
  <si>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</si>
  <si>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</si>
  <si>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</si>
  <si>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</si>
  <si>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</si>
  <si>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</si>
  <si>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</si>
  <si>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</si>
  <si>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</si>
  <si>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</si>
  <si>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</si>
  <si>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</si>
  <si>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</si>
  <si>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</si>
  <si>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</si>
  <si>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</si>
  <si>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</si>
  <si>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</si>
  <si>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</si>
  <si>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</si>
  <si>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</si>
  <si>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</si>
  <si>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</si>
  <si>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</si>
  <si>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</si>
  <si>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</si>
  <si>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</si>
  <si>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</si>
  <si>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</si>
  <si>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</si>
  <si>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</si>
  <si>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</si>
  <si>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</si>
  <si>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</si>
  <si>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</si>
  <si>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</si>
  <si>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</si>
  <si>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</si>
  <si>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</si>
  <si>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</si>
  <si>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</si>
  <si>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</si>
  <si>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</si>
  <si>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</si>
  <si>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</si>
  <si>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</si>
  <si>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</si>
  <si>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</si>
  <si>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</si>
  <si>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</si>
  <si>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</si>
  <si>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</si>
  <si>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</si>
  <si>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</si>
  <si>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</si>
  <si>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</si>
  <si>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</si>
  <si>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</si>
  <si>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</si>
  <si>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</si>
  <si>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</si>
  <si>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</si>
  <si>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</si>
  <si>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</si>
  <si>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</si>
  <si>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</si>
  <si>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</si>
  <si>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</si>
  <si>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</si>
  <si>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</si>
  <si>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</si>
  <si>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</si>
  <si>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</si>
  <si>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</si>
  <si>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</si>
  <si>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</si>
  <si>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</si>
  <si>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</si>
  <si>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</si>
  <si>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</si>
  <si>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</si>
  <si>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</si>
  <si>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</si>
  <si>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</si>
  <si>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</si>
  <si>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</si>
  <si>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</si>
  <si>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</si>
  <si>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</si>
  <si>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</si>
  <si>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</si>
  <si>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</si>
  <si>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</si>
  <si>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</si>
  <si>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</si>
  <si>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</si>
  <si>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</si>
  <si>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</si>
  <si>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</si>
  <si>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</si>
  <si>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</si>
  <si>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</si>
  <si>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</si>
  <si>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</si>
  <si>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</si>
  <si>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</si>
  <si>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</si>
  <si>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</si>
  <si>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</si>
  <si>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</si>
  <si>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</si>
  <si>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</si>
  <si>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</si>
  <si>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</si>
  <si>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</si>
  <si>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</si>
  <si>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</si>
  <si>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</si>
  <si>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</si>
  <si>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</si>
  <si>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</si>
  <si>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</si>
  <si>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</si>
  <si>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</si>
  <si>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</si>
  <si>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</si>
  <si>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</si>
  <si>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</si>
  <si>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</si>
  <si>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</si>
  <si>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</si>
  <si>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</si>
  <si>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</si>
  <si>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</si>
  <si>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</si>
  <si>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</si>
  <si>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</si>
  <si>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</si>
  <si>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</si>
  <si>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</si>
  <si>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</si>
  <si>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</si>
  <si>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</si>
  <si>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</si>
  <si>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</si>
  <si>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</si>
  <si>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</si>
  <si>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</si>
  <si>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</si>
  <si>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</si>
  <si>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</si>
  <si>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</si>
  <si>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</si>
  <si>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</si>
  <si>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</si>
  <si>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</si>
  <si>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</si>
  <si>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</si>
  <si>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</si>
  <si>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</si>
  <si>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</si>
  <si>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</si>
  <si>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</si>
  <si>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</si>
  <si>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</si>
  <si>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</si>
  <si>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</si>
  <si>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</si>
  <si>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</si>
  <si>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</si>
  <si>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</si>
  <si>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</si>
  <si>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</si>
  <si>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</si>
  <si>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</si>
  <si>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</si>
  <si>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</si>
  <si>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</si>
  <si>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</si>
  <si>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</si>
  <si>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</si>
  <si>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</si>
  <si>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</si>
  <si>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</si>
  <si>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</si>
  <si>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</si>
  <si>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</si>
  <si>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</si>
  <si>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</si>
  <si>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</si>
  <si>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</si>
  <si>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</si>
  <si>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</si>
  <si>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</si>
  <si>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</si>
  <si>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</si>
  <si>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</si>
  <si>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</si>
  <si>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</si>
  <si>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</si>
  <si>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</si>
  <si>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</si>
  <si>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</si>
  <si>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</si>
  <si>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</si>
  <si>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</si>
  <si>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</si>
  <si>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</si>
  <si>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</si>
  <si>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</si>
  <si>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</si>
  <si>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</si>
  <si>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</si>
  <si>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</si>
  <si>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</si>
  <si>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</si>
  <si>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</si>
  <si>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</si>
  <si>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</si>
  <si>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</si>
  <si>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</si>
  <si>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</si>
  <si>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</si>
  <si>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</si>
  <si>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</si>
  <si>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</si>
  <si>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</si>
  <si>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</si>
  <si>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</si>
  <si>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</si>
  <si>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</si>
  <si>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</si>
  <si>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</si>
  <si>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</si>
  <si>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</si>
  <si>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</si>
  <si>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</si>
  <si>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</si>
  <si>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</si>
  <si>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</si>
  <si>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</si>
  <si>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</si>
  <si>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</si>
  <si>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</si>
  <si>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</si>
  <si>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</si>
  <si>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</si>
  <si>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</si>
  <si>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</si>
  <si>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</si>
  <si>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</si>
  <si>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</si>
  <si>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</si>
  <si>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</si>
  <si>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</si>
  <si>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</si>
  <si>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</si>
  <si>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</si>
  <si>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</si>
  <si>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</si>
  <si>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</si>
  <si>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</si>
  <si>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</si>
  <si>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</si>
  <si>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</si>
  <si>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</si>
  <si>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</si>
  <si>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</si>
  <si>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</si>
  <si>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</si>
  <si>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</si>
  <si>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</si>
  <si>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</si>
  <si>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</si>
  <si>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</si>
  <si>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</si>
  <si>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</si>
  <si>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</si>
  <si>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</si>
  <si>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</si>
  <si>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</si>
  <si>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</si>
  <si>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</si>
  <si>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</si>
  <si>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</si>
  <si>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</si>
  <si>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</si>
  <si>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</si>
  <si>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</si>
  <si>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</si>
  <si>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</si>
  <si>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</si>
  <si>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</si>
  <si>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</si>
  <si>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</si>
  <si>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</si>
  <si>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</si>
  <si>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</si>
  <si>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</si>
  <si>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</si>
  <si>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</si>
  <si>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</si>
  <si>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</si>
  <si>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</si>
  <si>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</si>
  <si>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</si>
  <si>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</si>
  <si>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</si>
  <si>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</si>
  <si>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</si>
  <si>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</si>
  <si>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</si>
  <si>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</si>
  <si>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</si>
  <si>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</si>
  <si>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</si>
  <si>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</si>
  <si>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</si>
  <si>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</si>
  <si>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</si>
  <si>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</si>
  <si>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</si>
  <si>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</si>
  <si>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</si>
  <si>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</si>
  <si>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</si>
  <si>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</si>
  <si>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</si>
  <si>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</si>
  <si>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</si>
  <si>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</si>
  <si>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</si>
  <si>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</si>
  <si>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</si>
  <si>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</si>
  <si>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</si>
  <si>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</si>
  <si>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</si>
  <si>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</si>
  <si>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</si>
  <si>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</si>
  <si>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</si>
  <si>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</si>
  <si>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</si>
  <si>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</si>
  <si>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</si>
  <si>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</si>
  <si>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</si>
  <si>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</si>
  <si>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</si>
  <si>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</si>
  <si>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</si>
  <si>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</si>
  <si>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</si>
  <si>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</si>
  <si>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</si>
  <si>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</si>
  <si>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</si>
  <si>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</si>
  <si>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</si>
  <si>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</si>
  <si>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</si>
  <si>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</si>
  <si>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</si>
  <si>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</si>
  <si>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</si>
  <si>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</si>
  <si>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</si>
  <si>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</si>
  <si>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</si>
  <si>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</si>
  <si>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</si>
  <si>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</si>
  <si>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</si>
  <si>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</si>
  <si>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</si>
  <si>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</si>
  <si>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</si>
  <si>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</si>
  <si>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</si>
  <si>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</si>
  <si>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</si>
  <si>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</si>
  <si>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</si>
  <si>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</si>
  <si>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</si>
  <si>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</si>
  <si>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</si>
  <si>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</si>
  <si>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</si>
  <si>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</si>
  <si>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</si>
  <si>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</si>
  <si>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</si>
  <si>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</si>
  <si>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</si>
  <si>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</si>
  <si>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</si>
  <si>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</si>
  <si>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</si>
  <si>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</si>
  <si>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</si>
  <si>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</si>
  <si>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</si>
  <si>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</si>
  <si>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</si>
  <si>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</si>
  <si>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</si>
  <si>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</si>
  <si>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</si>
  <si>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</si>
  <si>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</si>
  <si>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</si>
  <si>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</si>
  <si>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</si>
  <si>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</si>
  <si>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</si>
  <si>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</si>
  <si>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</si>
  <si>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</si>
  <si>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</si>
  <si>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</si>
  <si>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</si>
  <si>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</si>
  <si>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</si>
  <si>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</si>
  <si>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</si>
  <si>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</si>
  <si>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</si>
  <si>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</si>
  <si>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</si>
  <si>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</si>
  <si>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</si>
  <si>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</si>
  <si>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</si>
  <si>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</si>
  <si>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</si>
  <si>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</si>
  <si>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</si>
  <si>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</si>
  <si>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</si>
  <si>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</si>
  <si>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</si>
  <si>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</si>
  <si>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</si>
  <si>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</si>
  <si>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</si>
  <si>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</si>
  <si>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</si>
  <si>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</si>
  <si>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</si>
  <si>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</si>
  <si>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</si>
  <si>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</si>
  <si>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</si>
  <si>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</si>
  <si>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</si>
  <si>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</si>
  <si>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</si>
  <si>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</si>
  <si>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</si>
  <si>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</si>
  <si>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</si>
  <si>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</si>
  <si>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</si>
  <si>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</si>
  <si>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</si>
  <si>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</si>
  <si>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</si>
  <si>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</si>
  <si>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</si>
  <si>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</si>
  <si>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</si>
  <si>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</si>
  <si>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</si>
  <si>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</si>
  <si>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</si>
  <si>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</si>
  <si>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</si>
  <si>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</si>
  <si>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</si>
  <si>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</si>
  <si>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</si>
  <si>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</si>
  <si>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</si>
  <si>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</si>
  <si>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</si>
  <si>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</si>
  <si>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</si>
  <si>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</si>
  <si>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</si>
  <si>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</si>
  <si>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</si>
  <si>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</si>
  <si>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</si>
  <si>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</si>
  <si>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</si>
  <si>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</si>
  <si>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</si>
  <si>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</si>
  <si>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</si>
  <si>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</si>
  <si>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</si>
  <si>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</si>
  <si>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</si>
  <si>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</si>
  <si>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</si>
  <si>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</si>
  <si>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</si>
  <si>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</si>
  <si>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</si>
  <si>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</si>
  <si>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</si>
  <si>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</si>
  <si>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</si>
  <si>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</si>
  <si>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</si>
  <si>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</si>
  <si>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</si>
  <si>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</si>
  <si>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</si>
  <si>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</si>
  <si>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</si>
  <si>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</si>
  <si>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</si>
  <si>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</si>
  <si>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</si>
  <si>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</si>
  <si>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</si>
  <si>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</si>
  <si>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</si>
  <si>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</si>
  <si>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</si>
  <si>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</si>
  <si>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</si>
  <si>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</si>
  <si>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</si>
  <si>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</si>
  <si>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</si>
  <si>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</si>
  <si>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</si>
  <si>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</si>
  <si>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</si>
  <si>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</si>
  <si>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</si>
  <si>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</si>
  <si>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</si>
  <si>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</si>
  <si>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</si>
  <si>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</si>
  <si>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</si>
  <si>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</si>
  <si>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</si>
  <si>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</si>
  <si>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</si>
  <si>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indexed="8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</si>
  <si>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</si>
  <si>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</si>
  <si>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</si>
  <si>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</si>
  <si>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</si>
  <si>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</si>
  <si>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</si>
  <si>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</si>
  <si>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</si>
  <si>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Cornish School Distrct</t>
  </si>
  <si>
    <t>7/15/11</t>
  </si>
  <si>
    <t>7/15/19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</si>
</sst>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3" fontId="0" fillId="0" borderId="0" xfId="0" applyNumberForma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115</v>
      </c>
      <c r="C2" s="21">
        <v>115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411788.78</v>
      </c>
      <c r="G9" s="18">
        <v>0</v>
      </c>
      <c r="H9" s="18">
        <v>0</v>
      </c>
      <c r="I9" s="18"/>
      <c r="J9" s="67">
        <f>SUM(I439)</f>
        <v>126456.79</v>
      </c>
      <c r="K9" s="24" t="s">
        <v>286</v>
      </c>
      <c r="L9" s="24" t="s">
        <v>286</v>
      </c>
      <c r="M9" s="8"/>
      <c r="N9" s="270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f>43259.64</f>
        <v>43259.64</v>
      </c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0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0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22865.32+1027.16-725.16</f>
        <v>23167.32</v>
      </c>
      <c r="G12" s="18">
        <f>6574.97+725.16</f>
        <v>7300.13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0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0</v>
      </c>
      <c r="G13" s="18">
        <v>0</v>
      </c>
      <c r="H13" s="18">
        <f>2179.25+2534+27592.39+1113+641.64+347.5-947.5</f>
        <v>33460.28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0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f>3370.98</f>
        <v>3370.98</v>
      </c>
      <c r="G14" s="18">
        <v>6392.62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0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0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0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0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0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481586.72000000003</v>
      </c>
      <c r="G19" s="41">
        <f>SUM(G9:G18)</f>
        <v>13692.75</v>
      </c>
      <c r="H19" s="41">
        <f>SUM(H9:H18)</f>
        <v>33460.28</v>
      </c>
      <c r="I19" s="41">
        <f>SUM(I9:I18)</f>
        <v>0</v>
      </c>
      <c r="J19" s="41">
        <f>SUM(J9:J18)</f>
        <v>126456.79</v>
      </c>
      <c r="K19" s="45" t="s">
        <v>286</v>
      </c>
      <c r="L19" s="45" t="s">
        <v>286</v>
      </c>
      <c r="M19" s="8"/>
      <c r="N19" s="270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0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>
        <f>1113+27570.1-546.66-423.93+2754.94</f>
        <v>30467.449999999997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0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0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f>49758.6-34108.07+6609.4-360.6</f>
        <v>21899.33</v>
      </c>
      <c r="G24" s="18">
        <v>13692.75</v>
      </c>
      <c r="H24" s="18">
        <f>65.95+947.5</f>
        <v>1013.45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0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0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0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0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0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>
        <f>15.31+6.98</f>
        <v>22.29</v>
      </c>
      <c r="I29" s="18"/>
      <c r="J29" s="24" t="s">
        <v>286</v>
      </c>
      <c r="K29" s="24" t="s">
        <v>286</v>
      </c>
      <c r="L29" s="24" t="s">
        <v>286</v>
      </c>
      <c r="M29" s="8"/>
      <c r="N29" s="270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>
        <v>546.66</v>
      </c>
      <c r="I30" s="18"/>
      <c r="J30" s="24" t="s">
        <v>286</v>
      </c>
      <c r="K30" s="24" t="s">
        <v>286</v>
      </c>
      <c r="L30" s="24" t="s">
        <v>286</v>
      </c>
      <c r="M30" s="8"/>
      <c r="N30" s="270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f>35713.63+1027.16+43259.64</f>
        <v>80000.429999999993</v>
      </c>
      <c r="G31" s="18"/>
      <c r="H31" s="18">
        <v>1410.43</v>
      </c>
      <c r="I31" s="18"/>
      <c r="J31" s="67">
        <f>SUM(I451)</f>
        <v>0</v>
      </c>
      <c r="K31" s="24" t="s">
        <v>286</v>
      </c>
      <c r="L31" s="24" t="s">
        <v>286</v>
      </c>
      <c r="M31" s="8"/>
      <c r="N31" s="270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101899.76</v>
      </c>
      <c r="G32" s="41">
        <f>SUM(G22:G31)</f>
        <v>13692.75</v>
      </c>
      <c r="H32" s="41">
        <f>SUM(H22:H31)</f>
        <v>33460.28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0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0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0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0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0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0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0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0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f>G19-G32</f>
        <v>0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0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0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0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0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200551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0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0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67518.23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0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0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0</v>
      </c>
      <c r="G48" s="18"/>
      <c r="H48" s="18">
        <f>H19-H32</f>
        <v>0</v>
      </c>
      <c r="I48" s="18"/>
      <c r="J48" s="13">
        <f>SUM(I459)</f>
        <v>126456.79</v>
      </c>
      <c r="K48" s="24" t="s">
        <v>286</v>
      </c>
      <c r="L48" s="24" t="s">
        <v>286</v>
      </c>
      <c r="M48" s="8"/>
      <c r="N48" s="270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40000</v>
      </c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F19-F32-F46-F48-F49-F44</f>
        <v>71617.73000000004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0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379686.96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126456.79</v>
      </c>
      <c r="K51" s="45" t="s">
        <v>286</v>
      </c>
      <c r="L51" s="45" t="s">
        <v>286</v>
      </c>
      <c r="N51" s="181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481586.72000000003</v>
      </c>
      <c r="G52" s="41">
        <f>G51+G32</f>
        <v>13692.75</v>
      </c>
      <c r="H52" s="41">
        <f>H51+H32</f>
        <v>33460.28</v>
      </c>
      <c r="I52" s="41">
        <f>I51+I32</f>
        <v>0</v>
      </c>
      <c r="J52" s="41">
        <f>J51+J32</f>
        <v>126456.79</v>
      </c>
      <c r="K52" s="45" t="s">
        <v>286</v>
      </c>
      <c r="L52" s="45" t="s">
        <v>286</v>
      </c>
      <c r="M52" s="8"/>
      <c r="N52" s="270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0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0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0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0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2304609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0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0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1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2304609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1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0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0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0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0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1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0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0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0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0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0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0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0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0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0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0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0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0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181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 t="s">
        <v>284</v>
      </c>
      <c r="N79" s="270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0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0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0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0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0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0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0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0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0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0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0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0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0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0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0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0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180.22</v>
      </c>
      <c r="G96" s="18"/>
      <c r="H96" s="18"/>
      <c r="I96" s="18"/>
      <c r="J96" s="18">
        <v>937.67</v>
      </c>
      <c r="K96" s="24" t="s">
        <v>286</v>
      </c>
      <c r="L96" s="24" t="s">
        <v>286</v>
      </c>
      <c r="M96" s="8"/>
      <c r="N96" s="270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12588.71+44148.4</f>
        <v>56737.11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0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0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0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0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0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50</v>
      </c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0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0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0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0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0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0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0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0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19143.25-10259.2</f>
        <v>8884.0499999999993</v>
      </c>
      <c r="G110" s="18">
        <v>0</v>
      </c>
      <c r="H110" s="18"/>
      <c r="I110" s="18"/>
      <c r="J110" s="18"/>
      <c r="K110" s="24" t="s">
        <v>286</v>
      </c>
      <c r="L110" s="24" t="s">
        <v>286</v>
      </c>
      <c r="M110" s="8"/>
      <c r="N110" s="270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9114.2699999999986</v>
      </c>
      <c r="G111" s="41">
        <f>SUM(G96:G110)</f>
        <v>56737.11</v>
      </c>
      <c r="H111" s="41">
        <f>SUM(H96:H110)</f>
        <v>0</v>
      </c>
      <c r="I111" s="41">
        <f>SUM(I96:I110)</f>
        <v>0</v>
      </c>
      <c r="J111" s="41">
        <f>SUM(J96:J110)</f>
        <v>937.67</v>
      </c>
      <c r="K111" s="45" t="s">
        <v>286</v>
      </c>
      <c r="L111" s="45" t="s">
        <v>286</v>
      </c>
      <c r="N111" s="181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2313723.27</v>
      </c>
      <c r="G112" s="41">
        <f>G60+G111</f>
        <v>56737.11</v>
      </c>
      <c r="H112" s="41">
        <f>H60+H79+H94+H111</f>
        <v>0</v>
      </c>
      <c r="I112" s="41">
        <f>I60+I111</f>
        <v>0</v>
      </c>
      <c r="J112" s="41">
        <f>J60+J111</f>
        <v>937.67</v>
      </c>
      <c r="K112" s="45" t="s">
        <v>286</v>
      </c>
      <c r="L112" s="45" t="s">
        <v>286</v>
      </c>
      <c r="M112" s="8"/>
      <c r="N112" s="270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0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0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0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0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557379.37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0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396120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0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0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1233.28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0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954732.65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0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0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f>15466.66</f>
        <v>15466.66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0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0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0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31975.18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0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0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0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0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0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0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327.49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0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0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0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47441.84</v>
      </c>
      <c r="G136" s="41">
        <f>SUM(G123:G135)</f>
        <v>327.49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0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0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0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0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1002174.49</v>
      </c>
      <c r="G140" s="41">
        <f>G121+SUM(G136:G137)</f>
        <v>327.49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0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0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0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0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0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0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0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0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0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0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0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0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0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0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f>8289.41+641.64</f>
        <v>8931.0499999999993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0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3249+2000+347.5-947.5-546.66</f>
        <v>4102.34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0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0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0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8838.0300000000007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0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f>37092.39+3052.28</f>
        <v>40144.67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0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f>2726.06+10259.2</f>
        <v>12985.26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0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0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12985.26</v>
      </c>
      <c r="G162" s="41">
        <f>SUM(G150:G161)</f>
        <v>8838.0300000000007</v>
      </c>
      <c r="H162" s="41">
        <f>SUM(H150:H161)</f>
        <v>53178.06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0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0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0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0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0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0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0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12985.26</v>
      </c>
      <c r="G169" s="41">
        <f>G147+G162+SUM(G163:G168)</f>
        <v>8838.0300000000007</v>
      </c>
      <c r="H169" s="41">
        <f>H147+H162+SUM(H163:H168)</f>
        <v>53178.06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0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0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0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0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0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0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0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0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0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0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f>26530.91+725.16</f>
        <v>27256.07</v>
      </c>
      <c r="H179" s="18"/>
      <c r="I179" s="18">
        <v>0</v>
      </c>
      <c r="J179" s="18">
        <v>0</v>
      </c>
      <c r="K179" s="24" t="s">
        <v>286</v>
      </c>
      <c r="L179" s="24" t="s">
        <v>286</v>
      </c>
      <c r="M179" s="8"/>
      <c r="N179" s="270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0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0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0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27256.07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0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0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59022</v>
      </c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0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0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181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59022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181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0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0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0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59022</v>
      </c>
      <c r="G192" s="41">
        <f>G183+SUM(G188:G191)</f>
        <v>27256.07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0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3387905.0199999996</v>
      </c>
      <c r="G193" s="47">
        <f>G112+G140+G169+G192</f>
        <v>93158.700000000012</v>
      </c>
      <c r="H193" s="47">
        <f>H112+H140+H169+H192</f>
        <v>53178.06</v>
      </c>
      <c r="I193" s="47">
        <f>I112+I140+I169+I192</f>
        <v>0</v>
      </c>
      <c r="J193" s="47">
        <f>J112+J140+J192</f>
        <v>937.67</v>
      </c>
      <c r="K193" s="45" t="s">
        <v>286</v>
      </c>
      <c r="L193" s="45" t="s">
        <v>286</v>
      </c>
      <c r="M193" s="8"/>
      <c r="N193" s="270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0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0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542816.54</v>
      </c>
      <c r="G197" s="18">
        <f>274204.1-6890.6-27016.28</f>
        <v>240297.22</v>
      </c>
      <c r="H197" s="18">
        <v>40784.199999999997</v>
      </c>
      <c r="I197" s="18">
        <f>44389.41+3175.79+10000+6376.94</f>
        <v>63942.140000000007</v>
      </c>
      <c r="J197" s="18">
        <f>12739.25</f>
        <v>12739.25</v>
      </c>
      <c r="K197" s="18">
        <f>530</f>
        <v>530</v>
      </c>
      <c r="L197" s="19">
        <f>SUM(F197:K197)</f>
        <v>901109.35</v>
      </c>
      <c r="M197" s="8"/>
      <c r="N197" s="270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77720.04</f>
        <v>77720.039999999994</v>
      </c>
      <c r="G198" s="18">
        <f>31568.86-1673.35</f>
        <v>29895.510000000002</v>
      </c>
      <c r="H198" s="18">
        <f>25817.87+13500</f>
        <v>39317.869999999995</v>
      </c>
      <c r="I198" s="18">
        <v>188.75</v>
      </c>
      <c r="J198" s="18"/>
      <c r="K198" s="18">
        <v>765</v>
      </c>
      <c r="L198" s="19">
        <f>SUM(F198:K198)</f>
        <v>147887.16999999998</v>
      </c>
      <c r="M198" s="8"/>
      <c r="N198" s="270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2150</v>
      </c>
      <c r="G200" s="18"/>
      <c r="H200" s="18"/>
      <c r="I200" s="18">
        <v>1742.59</v>
      </c>
      <c r="J200" s="18"/>
      <c r="K200" s="18">
        <v>350</v>
      </c>
      <c r="L200" s="19">
        <f>SUM(F200:K200)</f>
        <v>4242.59</v>
      </c>
      <c r="M200" s="8"/>
      <c r="N200" s="270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0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22489.92+37270.17</f>
        <v>59760.09</v>
      </c>
      <c r="G202" s="18">
        <f>5925.99+1648.8</f>
        <v>7574.79</v>
      </c>
      <c r="H202" s="18">
        <v>37369.65</v>
      </c>
      <c r="I202" s="18">
        <f>877.99+100+844.83</f>
        <v>1822.8200000000002</v>
      </c>
      <c r="J202" s="18">
        <f>17296.416+148.17</f>
        <v>17444.585999999999</v>
      </c>
      <c r="K202" s="18"/>
      <c r="L202" s="19">
        <f t="shared" ref="L202:L208" si="0">SUM(F202:K202)</f>
        <v>123971.936</v>
      </c>
      <c r="M202" s="8"/>
      <c r="N202" s="270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37613.38</f>
        <v>37613.379999999997</v>
      </c>
      <c r="G203" s="18">
        <f>18726.56-398.42</f>
        <v>18328.140000000003</v>
      </c>
      <c r="H203" s="18"/>
      <c r="I203" s="18">
        <f>290.97+6164.39</f>
        <v>6455.3600000000006</v>
      </c>
      <c r="J203" s="18"/>
      <c r="K203" s="18"/>
      <c r="L203" s="19">
        <f t="shared" si="0"/>
        <v>62396.880000000005</v>
      </c>
      <c r="M203" s="8"/>
      <c r="N203" s="270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14919.71</v>
      </c>
      <c r="G204" s="18">
        <v>1141.3699999999999</v>
      </c>
      <c r="H204" s="18">
        <f>19121.15+146378.4+30000</f>
        <v>195499.55</v>
      </c>
      <c r="I204" s="18">
        <f>481.36+7949.77</f>
        <v>8431.130000000001</v>
      </c>
      <c r="J204" s="18">
        <v>1303.3599999999999</v>
      </c>
      <c r="K204" s="18">
        <f>3575.76+1384.04</f>
        <v>4959.8</v>
      </c>
      <c r="L204" s="19">
        <f t="shared" si="0"/>
        <v>226254.91999999995</v>
      </c>
      <c r="M204" s="8"/>
      <c r="N204" s="270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120625.2</f>
        <v>120625.2</v>
      </c>
      <c r="G205" s="18">
        <f>57228.88+63833.09-3012.03</f>
        <v>118049.94</v>
      </c>
      <c r="H205" s="18">
        <v>8618.93</v>
      </c>
      <c r="I205" s="18">
        <v>782.53</v>
      </c>
      <c r="J205" s="18"/>
      <c r="K205" s="18">
        <v>1393.77</v>
      </c>
      <c r="L205" s="19">
        <f t="shared" si="0"/>
        <v>249470.37</v>
      </c>
      <c r="M205" s="8"/>
      <c r="N205" s="270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70643.22</f>
        <v>70643.22</v>
      </c>
      <c r="G207" s="18">
        <f>29802.28-2008.02</f>
        <v>27794.26</v>
      </c>
      <c r="H207" s="18">
        <f>163196.4</f>
        <v>163196.4</v>
      </c>
      <c r="I207" s="18">
        <v>60311.62</v>
      </c>
      <c r="J207" s="18">
        <v>1655</v>
      </c>
      <c r="K207" s="18">
        <v>50</v>
      </c>
      <c r="L207" s="19">
        <f t="shared" si="0"/>
        <v>323650.5</v>
      </c>
      <c r="M207" s="8"/>
      <c r="N207" s="270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H598</f>
        <v>76229.37</v>
      </c>
      <c r="I208" s="18"/>
      <c r="J208" s="18"/>
      <c r="K208" s="18"/>
      <c r="L208" s="19">
        <f t="shared" si="0"/>
        <v>76229.37</v>
      </c>
      <c r="M208" s="8"/>
      <c r="N208" s="270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0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926248.17999999993</v>
      </c>
      <c r="G211" s="41">
        <f t="shared" si="1"/>
        <v>443081.23</v>
      </c>
      <c r="H211" s="41">
        <f t="shared" si="1"/>
        <v>561015.97</v>
      </c>
      <c r="I211" s="41">
        <f t="shared" si="1"/>
        <v>143676.94000000003</v>
      </c>
      <c r="J211" s="41">
        <f t="shared" si="1"/>
        <v>33142.195999999996</v>
      </c>
      <c r="K211" s="41">
        <f t="shared" si="1"/>
        <v>8048.57</v>
      </c>
      <c r="L211" s="41">
        <f t="shared" si="1"/>
        <v>2115213.0860000001</v>
      </c>
      <c r="M211" s="8"/>
      <c r="N211" s="270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0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0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0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0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0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0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0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0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0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0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f>881750.18</f>
        <v>881750.18</v>
      </c>
      <c r="I233" s="18"/>
      <c r="J233" s="18"/>
      <c r="K233" s="18"/>
      <c r="L233" s="19">
        <f>SUM(F233:K233)</f>
        <v>881750.18</v>
      </c>
      <c r="M233" s="8"/>
      <c r="N233" s="270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5902.16</v>
      </c>
      <c r="G234" s="18">
        <f>4621.84</f>
        <v>4621.84</v>
      </c>
      <c r="H234" s="18">
        <v>223933</v>
      </c>
      <c r="I234" s="18"/>
      <c r="J234" s="18"/>
      <c r="K234" s="18"/>
      <c r="L234" s="19">
        <f>SUM(F234:K234)</f>
        <v>234457</v>
      </c>
      <c r="M234" s="8"/>
      <c r="N234" s="270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0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0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0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f>J591+J592</f>
        <v>67679.27</v>
      </c>
      <c r="I244" s="18"/>
      <c r="J244" s="18"/>
      <c r="K244" s="18"/>
      <c r="L244" s="19">
        <f t="shared" si="4"/>
        <v>67679.27</v>
      </c>
      <c r="M244" s="8"/>
      <c r="N244" s="270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0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5902.16</v>
      </c>
      <c r="G247" s="41">
        <f t="shared" si="5"/>
        <v>4621.84</v>
      </c>
      <c r="H247" s="41">
        <f t="shared" si="5"/>
        <v>1173362.4500000002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1183886.4500000002</v>
      </c>
      <c r="M247" s="8"/>
      <c r="N247" s="270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0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932150.34</v>
      </c>
      <c r="G257" s="41">
        <f t="shared" si="8"/>
        <v>447703.07</v>
      </c>
      <c r="H257" s="41">
        <f t="shared" si="8"/>
        <v>1734378.4200000002</v>
      </c>
      <c r="I257" s="41">
        <f t="shared" si="8"/>
        <v>143676.94000000003</v>
      </c>
      <c r="J257" s="41">
        <f t="shared" si="8"/>
        <v>33142.195999999996</v>
      </c>
      <c r="K257" s="41">
        <f t="shared" si="8"/>
        <v>8048.57</v>
      </c>
      <c r="L257" s="41">
        <f t="shared" si="8"/>
        <v>3299099.5360000003</v>
      </c>
      <c r="M257" s="8"/>
      <c r="N257" s="270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0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0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51111.11</v>
      </c>
      <c r="L260" s="19">
        <f>SUM(F260:K260)</f>
        <v>51111.11</v>
      </c>
      <c r="M260" s="8"/>
      <c r="N260" s="270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3863.8</v>
      </c>
      <c r="L261" s="19">
        <f>SUM(F261:K261)</f>
        <v>3863.8</v>
      </c>
      <c r="N261" s="181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181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f>26530.91+725.16</f>
        <v>27256.07</v>
      </c>
      <c r="L263" s="19">
        <f>SUM(F263:K263)</f>
        <v>27256.07</v>
      </c>
      <c r="N263" s="181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181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181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181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181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181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181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82230.98000000001</v>
      </c>
      <c r="L270" s="41">
        <f t="shared" si="9"/>
        <v>82230.98000000001</v>
      </c>
      <c r="N270" s="181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932150.34</v>
      </c>
      <c r="G271" s="42">
        <f t="shared" si="11"/>
        <v>447703.07</v>
      </c>
      <c r="H271" s="42">
        <f t="shared" si="11"/>
        <v>1734378.4200000002</v>
      </c>
      <c r="I271" s="42">
        <f t="shared" si="11"/>
        <v>143676.94000000003</v>
      </c>
      <c r="J271" s="42">
        <f t="shared" si="11"/>
        <v>33142.195999999996</v>
      </c>
      <c r="K271" s="42">
        <f t="shared" si="11"/>
        <v>90279.550000000017</v>
      </c>
      <c r="L271" s="42">
        <f t="shared" si="11"/>
        <v>3381330.5160000003</v>
      </c>
      <c r="M271" s="8"/>
      <c r="N271" s="270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0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0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7507.47</v>
      </c>
      <c r="G276" s="18">
        <v>574.34</v>
      </c>
      <c r="H276" s="18"/>
      <c r="I276" s="18">
        <v>539.24</v>
      </c>
      <c r="J276" s="18">
        <v>1228.3399999999999</v>
      </c>
      <c r="K276" s="18">
        <v>225</v>
      </c>
      <c r="L276" s="19">
        <f>SUM(F276:K276)</f>
        <v>10074.390000000001</v>
      </c>
      <c r="M276" s="8"/>
      <c r="N276" s="270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17692.39</v>
      </c>
      <c r="G277" s="18"/>
      <c r="H277" s="18">
        <f>900+1939.28</f>
        <v>2839.2799999999997</v>
      </c>
      <c r="I277" s="18">
        <f>1113</f>
        <v>1113</v>
      </c>
      <c r="J277" s="18"/>
      <c r="K277" s="18"/>
      <c r="L277" s="19">
        <f>SUM(F277:K277)</f>
        <v>21644.67</v>
      </c>
      <c r="M277" s="8"/>
      <c r="N277" s="270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0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0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>
        <f>1701.5</f>
        <v>1701.5</v>
      </c>
      <c r="I282" s="18">
        <v>947.5</v>
      </c>
      <c r="J282" s="18"/>
      <c r="K282" s="18">
        <v>0</v>
      </c>
      <c r="L282" s="19">
        <f t="shared" si="12"/>
        <v>2649</v>
      </c>
      <c r="M282" s="8"/>
      <c r="N282" s="270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310</v>
      </c>
      <c r="I287" s="18"/>
      <c r="J287" s="18"/>
      <c r="K287" s="18"/>
      <c r="L287" s="19">
        <f t="shared" si="12"/>
        <v>310</v>
      </c>
      <c r="M287" s="8"/>
      <c r="N287" s="270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0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25199.86</v>
      </c>
      <c r="G290" s="42">
        <f t="shared" si="13"/>
        <v>574.34</v>
      </c>
      <c r="H290" s="42">
        <f t="shared" si="13"/>
        <v>4850.78</v>
      </c>
      <c r="I290" s="42">
        <f t="shared" si="13"/>
        <v>2599.7399999999998</v>
      </c>
      <c r="J290" s="42">
        <f t="shared" si="13"/>
        <v>1228.3399999999999</v>
      </c>
      <c r="K290" s="42">
        <f t="shared" si="13"/>
        <v>225</v>
      </c>
      <c r="L290" s="41">
        <f t="shared" si="13"/>
        <v>34678.06</v>
      </c>
      <c r="M290" s="8"/>
      <c r="N290" s="270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0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0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0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0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181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0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0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18500</v>
      </c>
      <c r="G315" s="18"/>
      <c r="H315" s="18">
        <v>0</v>
      </c>
      <c r="I315" s="18">
        <v>0</v>
      </c>
      <c r="J315" s="18"/>
      <c r="K315" s="18"/>
      <c r="L315" s="19">
        <f>SUM(F315:K315)</f>
        <v>18500</v>
      </c>
      <c r="M315" s="8"/>
      <c r="N315" s="270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0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0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18500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18500</v>
      </c>
      <c r="M328" s="8"/>
      <c r="N328" s="270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0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43699.86</v>
      </c>
      <c r="G338" s="41">
        <f t="shared" si="20"/>
        <v>574.34</v>
      </c>
      <c r="H338" s="41">
        <f t="shared" si="20"/>
        <v>4850.78</v>
      </c>
      <c r="I338" s="41">
        <f t="shared" si="20"/>
        <v>2599.7399999999998</v>
      </c>
      <c r="J338" s="41">
        <f t="shared" si="20"/>
        <v>1228.3399999999999</v>
      </c>
      <c r="K338" s="41">
        <f t="shared" si="20"/>
        <v>225</v>
      </c>
      <c r="L338" s="41">
        <f t="shared" si="20"/>
        <v>53178.06</v>
      </c>
      <c r="M338" s="8"/>
      <c r="N338" s="270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0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0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0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0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0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0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0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0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0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43699.86</v>
      </c>
      <c r="G352" s="41">
        <f>G338</f>
        <v>574.34</v>
      </c>
      <c r="H352" s="41">
        <f>H338</f>
        <v>4850.78</v>
      </c>
      <c r="I352" s="41">
        <f>I338</f>
        <v>2599.7399999999998</v>
      </c>
      <c r="J352" s="41">
        <f>J338</f>
        <v>1228.3399999999999</v>
      </c>
      <c r="K352" s="47">
        <f>K338+K351</f>
        <v>225</v>
      </c>
      <c r="L352" s="41">
        <f>L338+L351</f>
        <v>53178.06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0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0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0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f>84055.38</f>
        <v>84055.38</v>
      </c>
      <c r="I358" s="18">
        <v>424.48</v>
      </c>
      <c r="J358" s="18">
        <v>8678.84</v>
      </c>
      <c r="K358" s="18"/>
      <c r="L358" s="13">
        <f>SUM(F358:K358)</f>
        <v>93158.7</v>
      </c>
      <c r="N358" s="181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0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0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84055.38</v>
      </c>
      <c r="I362" s="47">
        <f t="shared" si="22"/>
        <v>424.48</v>
      </c>
      <c r="J362" s="47">
        <f t="shared" si="22"/>
        <v>8678.84</v>
      </c>
      <c r="K362" s="47">
        <f t="shared" si="22"/>
        <v>0</v>
      </c>
      <c r="L362" s="47">
        <f t="shared" si="22"/>
        <v>93158.7</v>
      </c>
      <c r="M362" s="8"/>
      <c r="N362" s="270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0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0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0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424.48</v>
      </c>
      <c r="G368" s="63"/>
      <c r="H368" s="63"/>
      <c r="I368" s="56">
        <f>SUM(F368:H368)</f>
        <v>424.48</v>
      </c>
      <c r="J368" s="24" t="s">
        <v>286</v>
      </c>
      <c r="K368" s="24" t="s">
        <v>286</v>
      </c>
      <c r="L368" s="24" t="s">
        <v>286</v>
      </c>
      <c r="M368" s="8"/>
      <c r="N368" s="270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424.48</v>
      </c>
      <c r="G369" s="47">
        <f>SUM(G367:G368)</f>
        <v>0</v>
      </c>
      <c r="H369" s="47">
        <f>SUM(H367:H368)</f>
        <v>0</v>
      </c>
      <c r="I369" s="47">
        <f>SUM(I367:I368)</f>
        <v>424.48</v>
      </c>
      <c r="J369" s="24" t="s">
        <v>286</v>
      </c>
      <c r="K369" s="24" t="s">
        <v>286</v>
      </c>
      <c r="L369" s="24" t="s">
        <v>286</v>
      </c>
      <c r="M369" s="8"/>
      <c r="N369" s="270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0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0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0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0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0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0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>
        <v>0</v>
      </c>
      <c r="G388" s="18">
        <v>0</v>
      </c>
      <c r="H388" s="18">
        <v>0</v>
      </c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0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>
        <v>0</v>
      </c>
      <c r="H389" s="18">
        <v>0</v>
      </c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0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0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0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>
        <v>0</v>
      </c>
      <c r="H392" s="18">
        <v>0</v>
      </c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0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0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0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0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f>180.51+298.41</f>
        <v>478.92</v>
      </c>
      <c r="I396" s="18"/>
      <c r="J396" s="24" t="s">
        <v>286</v>
      </c>
      <c r="K396" s="24" t="s">
        <v>286</v>
      </c>
      <c r="L396" s="56">
        <f t="shared" si="26"/>
        <v>478.92</v>
      </c>
      <c r="M396" s="8"/>
      <c r="N396" s="270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0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>
        <f>458.75</f>
        <v>458.75</v>
      </c>
      <c r="I398" s="18"/>
      <c r="J398" s="24" t="s">
        <v>286</v>
      </c>
      <c r="K398" s="24" t="s">
        <v>286</v>
      </c>
      <c r="L398" s="56">
        <f t="shared" si="26"/>
        <v>458.75</v>
      </c>
      <c r="M398" s="8"/>
      <c r="N398" s="270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0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0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937.67000000000007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937.67000000000007</v>
      </c>
      <c r="M401" s="8"/>
      <c r="N401" s="270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0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0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0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0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0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0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937.67000000000007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937.67000000000007</v>
      </c>
      <c r="M408" s="8"/>
      <c r="N408" s="270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0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0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0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0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0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0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0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0</v>
      </c>
      <c r="G439" s="18">
        <v>126456.79</v>
      </c>
      <c r="H439" s="18"/>
      <c r="I439" s="56">
        <f t="shared" ref="I439:I445" si="33">SUM(F439:H439)</f>
        <v>126456.79</v>
      </c>
      <c r="J439" s="24" t="s">
        <v>286</v>
      </c>
      <c r="K439" s="24" t="s">
        <v>286</v>
      </c>
      <c r="L439" s="24" t="s">
        <v>286</v>
      </c>
      <c r="M439" s="8"/>
      <c r="N439" s="270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0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0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0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0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0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0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126456.79</v>
      </c>
      <c r="H446" s="13">
        <f>SUM(H439:H445)</f>
        <v>0</v>
      </c>
      <c r="I446" s="13">
        <f>SUM(I439:I445)</f>
        <v>126456.79</v>
      </c>
      <c r="J446" s="24" t="s">
        <v>286</v>
      </c>
      <c r="K446" s="24" t="s">
        <v>286</v>
      </c>
      <c r="L446" s="24" t="s">
        <v>286</v>
      </c>
      <c r="M446" s="8"/>
      <c r="N446" s="270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0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0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0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0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0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0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0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0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0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f>F446</f>
        <v>0</v>
      </c>
      <c r="G459" s="18">
        <f>G446</f>
        <v>126456.79</v>
      </c>
      <c r="H459" s="18"/>
      <c r="I459" s="56">
        <f t="shared" si="34"/>
        <v>126456.79</v>
      </c>
      <c r="J459" s="24" t="s">
        <v>286</v>
      </c>
      <c r="K459" s="24" t="s">
        <v>286</v>
      </c>
      <c r="L459" s="24" t="s">
        <v>286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126456.79</v>
      </c>
      <c r="H460" s="83">
        <f>SUM(H454:H459)</f>
        <v>0</v>
      </c>
      <c r="I460" s="83">
        <f>SUM(I454:I459)</f>
        <v>126456.79</v>
      </c>
      <c r="J460" s="24" t="s">
        <v>286</v>
      </c>
      <c r="K460" s="24" t="s">
        <v>286</v>
      </c>
      <c r="L460" s="24" t="s">
        <v>286</v>
      </c>
      <c r="N460" s="217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126456.79</v>
      </c>
      <c r="H461" s="42">
        <f>H452+H460</f>
        <v>0</v>
      </c>
      <c r="I461" s="42">
        <f>I452+I460</f>
        <v>126456.79</v>
      </c>
      <c r="J461" s="24" t="s">
        <v>286</v>
      </c>
      <c r="K461" s="24" t="s">
        <v>286</v>
      </c>
      <c r="L461" s="24" t="s">
        <v>286</v>
      </c>
      <c r="N461" s="217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17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f>373112.46</f>
        <v>373112.46</v>
      </c>
      <c r="G465" s="18">
        <v>0</v>
      </c>
      <c r="H465" s="18">
        <v>0</v>
      </c>
      <c r="I465" s="18"/>
      <c r="J465" s="18">
        <f>58996.55+26624.17+1757.72+11916.29+18724.39+7500</f>
        <v>125519.12000000001</v>
      </c>
      <c r="K465" s="24" t="s">
        <v>286</v>
      </c>
      <c r="L465" s="24" t="s">
        <v>286</v>
      </c>
      <c r="N465" s="217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17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17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F193</f>
        <v>3387905.0199999996</v>
      </c>
      <c r="G468" s="18">
        <f>G193</f>
        <v>93158.700000000012</v>
      </c>
      <c r="H468" s="18">
        <f>H193</f>
        <v>53178.06</v>
      </c>
      <c r="I468" s="18"/>
      <c r="J468" s="18">
        <f>L408</f>
        <v>937.67000000000007</v>
      </c>
      <c r="K468" s="24" t="s">
        <v>286</v>
      </c>
      <c r="L468" s="24" t="s">
        <v>286</v>
      </c>
      <c r="N468" s="217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17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3387905.0199999996</v>
      </c>
      <c r="G470" s="53">
        <f>SUM(G468:G469)</f>
        <v>93158.700000000012</v>
      </c>
      <c r="H470" s="53">
        <f>SUM(H468:H469)</f>
        <v>53178.06</v>
      </c>
      <c r="I470" s="53">
        <f>SUM(I468:I469)</f>
        <v>0</v>
      </c>
      <c r="J470" s="53">
        <f>SUM(J468:J469)</f>
        <v>937.67000000000007</v>
      </c>
      <c r="K470" s="24" t="s">
        <v>286</v>
      </c>
      <c r="L470" s="24" t="s">
        <v>286</v>
      </c>
      <c r="N470" s="217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17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3381330.5160000003</v>
      </c>
      <c r="G472" s="18">
        <f>L362</f>
        <v>93158.7</v>
      </c>
      <c r="H472" s="18">
        <f>L352</f>
        <v>53178.06</v>
      </c>
      <c r="I472" s="18"/>
      <c r="J472" s="18"/>
      <c r="K472" s="24" t="s">
        <v>286</v>
      </c>
      <c r="L472" s="24" t="s">
        <v>286</v>
      </c>
      <c r="N472" s="217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17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3381330.5160000003</v>
      </c>
      <c r="G474" s="53">
        <f>SUM(G472:G473)</f>
        <v>93158.7</v>
      </c>
      <c r="H474" s="53">
        <f>SUM(H472:H473)</f>
        <v>53178.06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17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17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379686.96399999922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126456.79000000001</v>
      </c>
      <c r="K476" s="24" t="s">
        <v>286</v>
      </c>
      <c r="L476" s="24" t="s">
        <v>286</v>
      </c>
      <c r="N476" s="217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17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17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17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17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17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17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17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9</v>
      </c>
      <c r="G490" s="154"/>
      <c r="H490" s="154"/>
      <c r="I490" s="154"/>
      <c r="J490" s="154"/>
      <c r="K490" s="24" t="s">
        <v>286</v>
      </c>
      <c r="L490" s="24" t="s">
        <v>286</v>
      </c>
      <c r="N490" s="217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/>
      <c r="H491" s="154"/>
      <c r="I491" s="154"/>
      <c r="J491" s="154"/>
      <c r="K491" s="24" t="s">
        <v>286</v>
      </c>
      <c r="L491" s="24" t="s">
        <v>286</v>
      </c>
      <c r="N491" s="217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/>
      <c r="H492" s="154"/>
      <c r="I492" s="154"/>
      <c r="J492" s="154"/>
      <c r="K492" s="24" t="s">
        <v>286</v>
      </c>
      <c r="L492" s="24" t="s">
        <v>286</v>
      </c>
      <c r="N492" s="217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460000</v>
      </c>
      <c r="G493" s="18"/>
      <c r="H493" s="18"/>
      <c r="I493" s="18"/>
      <c r="J493" s="18"/>
      <c r="K493" s="24" t="s">
        <v>286</v>
      </c>
      <c r="L493" s="24" t="s">
        <v>286</v>
      </c>
      <c r="N493" s="217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0.03</v>
      </c>
      <c r="G494" s="18"/>
      <c r="H494" s="18"/>
      <c r="I494" s="18"/>
      <c r="J494" s="18"/>
      <c r="K494" s="24" t="s">
        <v>286</v>
      </c>
      <c r="L494" s="24" t="s">
        <v>286</v>
      </c>
      <c r="N494" s="217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f>153333.33-51111.1</f>
        <v>102222.22999999998</v>
      </c>
      <c r="G495" s="18"/>
      <c r="H495" s="18"/>
      <c r="I495" s="18"/>
      <c r="J495" s="18"/>
      <c r="K495" s="53">
        <f>SUM(F495:J495)</f>
        <v>102222.22999999998</v>
      </c>
      <c r="L495" s="24" t="s">
        <v>286</v>
      </c>
      <c r="N495" s="217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17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51111.1</v>
      </c>
      <c r="G497" s="18"/>
      <c r="H497" s="18"/>
      <c r="I497" s="18"/>
      <c r="J497" s="18"/>
      <c r="K497" s="53">
        <f t="shared" si="35"/>
        <v>51111.1</v>
      </c>
      <c r="L497" s="24" t="s">
        <v>286</v>
      </c>
      <c r="N497" s="217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51111.1</v>
      </c>
      <c r="G498" s="204"/>
      <c r="H498" s="204"/>
      <c r="I498" s="204"/>
      <c r="J498" s="204"/>
      <c r="K498" s="205">
        <f t="shared" si="35"/>
        <v>51111.1</v>
      </c>
      <c r="L498" s="206" t="s">
        <v>286</v>
      </c>
      <c r="N498" s="217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2286</v>
      </c>
      <c r="G499" s="18"/>
      <c r="H499" s="18"/>
      <c r="I499" s="18"/>
      <c r="J499" s="18"/>
      <c r="K499" s="53">
        <f t="shared" si="35"/>
        <v>2286</v>
      </c>
      <c r="L499" s="24" t="s">
        <v>286</v>
      </c>
      <c r="N499" s="217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53397.1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53397.1</v>
      </c>
      <c r="L500" s="45" t="s">
        <v>286</v>
      </c>
      <c r="N500" s="217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51111.1</v>
      </c>
      <c r="G501" s="204"/>
      <c r="H501" s="204"/>
      <c r="I501" s="204"/>
      <c r="J501" s="204"/>
      <c r="K501" s="205">
        <f t="shared" si="35"/>
        <v>51111.1</v>
      </c>
      <c r="L501" s="206" t="s">
        <v>286</v>
      </c>
      <c r="N501" s="217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2286</v>
      </c>
      <c r="G502" s="18"/>
      <c r="H502" s="18"/>
      <c r="I502" s="18"/>
      <c r="J502" s="18"/>
      <c r="K502" s="53">
        <f t="shared" si="35"/>
        <v>2286</v>
      </c>
      <c r="L502" s="24" t="s">
        <v>286</v>
      </c>
      <c r="N502" s="217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53397.1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53397.1</v>
      </c>
      <c r="L503" s="45" t="s">
        <v>286</v>
      </c>
      <c r="N503" s="217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17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17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17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17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17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17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17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17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17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17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17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 t="shared" ref="F521:K521" si="36">F198+F277</f>
        <v>95412.43</v>
      </c>
      <c r="G521" s="18">
        <f t="shared" si="36"/>
        <v>29895.510000000002</v>
      </c>
      <c r="H521" s="18">
        <f t="shared" si="36"/>
        <v>42157.149999999994</v>
      </c>
      <c r="I521" s="18">
        <f t="shared" si="36"/>
        <v>1301.75</v>
      </c>
      <c r="J521" s="18">
        <f t="shared" si="36"/>
        <v>0</v>
      </c>
      <c r="K521" s="18">
        <f t="shared" si="36"/>
        <v>765</v>
      </c>
      <c r="L521" s="88">
        <f>SUM(F521:K521)</f>
        <v>169531.84</v>
      </c>
      <c r="N521" s="217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f t="shared" ref="F523:K523" si="37">F315+F234</f>
        <v>24402.16</v>
      </c>
      <c r="G523" s="18">
        <f t="shared" si="37"/>
        <v>4621.84</v>
      </c>
      <c r="H523" s="18">
        <f>H315+H234+13500</f>
        <v>237433</v>
      </c>
      <c r="I523" s="18">
        <f t="shared" si="37"/>
        <v>0</v>
      </c>
      <c r="J523" s="18">
        <f t="shared" si="37"/>
        <v>0</v>
      </c>
      <c r="K523" s="18">
        <f t="shared" si="37"/>
        <v>0</v>
      </c>
      <c r="L523" s="88">
        <f>SUM(F523:K523)</f>
        <v>266457</v>
      </c>
      <c r="N523" s="217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119814.59</v>
      </c>
      <c r="G524" s="108">
        <f t="shared" ref="G524:L524" si="38">SUM(G521:G523)</f>
        <v>34517.350000000006</v>
      </c>
      <c r="H524" s="108">
        <f t="shared" si="38"/>
        <v>279590.15000000002</v>
      </c>
      <c r="I524" s="108">
        <f t="shared" si="38"/>
        <v>1301.75</v>
      </c>
      <c r="J524" s="108">
        <f t="shared" si="38"/>
        <v>0</v>
      </c>
      <c r="K524" s="108">
        <f t="shared" si="38"/>
        <v>765</v>
      </c>
      <c r="L524" s="89">
        <f t="shared" si="38"/>
        <v>435988.83999999997</v>
      </c>
      <c r="N524" s="217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17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v>24958.61</v>
      </c>
      <c r="I526" s="18"/>
      <c r="J526" s="18"/>
      <c r="K526" s="18"/>
      <c r="L526" s="88">
        <f>SUM(F526:K526)</f>
        <v>24958.61</v>
      </c>
      <c r="M526" s="8"/>
      <c r="N526" s="270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>
        <v>15402.16</v>
      </c>
      <c r="I528" s="18"/>
      <c r="J528" s="18"/>
      <c r="K528" s="18"/>
      <c r="L528" s="88">
        <f>SUM(F528:K528)</f>
        <v>15402.16</v>
      </c>
      <c r="M528" s="8"/>
      <c r="N528" s="270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9">SUM(G526:G528)</f>
        <v>0</v>
      </c>
      <c r="H529" s="89">
        <f t="shared" si="39"/>
        <v>40360.770000000004</v>
      </c>
      <c r="I529" s="89">
        <f t="shared" si="39"/>
        <v>0</v>
      </c>
      <c r="J529" s="89">
        <f t="shared" si="39"/>
        <v>0</v>
      </c>
      <c r="K529" s="89">
        <f t="shared" si="39"/>
        <v>0</v>
      </c>
      <c r="L529" s="89">
        <f t="shared" si="39"/>
        <v>40360.770000000004</v>
      </c>
      <c r="M529" s="8"/>
      <c r="N529" s="270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0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44901</v>
      </c>
      <c r="G531" s="18"/>
      <c r="H531" s="18"/>
      <c r="I531" s="18"/>
      <c r="J531" s="18"/>
      <c r="K531" s="18"/>
      <c r="L531" s="88">
        <f>SUM(F531:K531)</f>
        <v>44901</v>
      </c>
      <c r="M531" s="8"/>
      <c r="N531" s="270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0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44901</v>
      </c>
      <c r="G534" s="89">
        <f t="shared" ref="G534:L534" si="40">SUM(G531:G533)</f>
        <v>0</v>
      </c>
      <c r="H534" s="89">
        <f t="shared" si="40"/>
        <v>0</v>
      </c>
      <c r="I534" s="89">
        <f t="shared" si="40"/>
        <v>0</v>
      </c>
      <c r="J534" s="89">
        <f t="shared" si="40"/>
        <v>0</v>
      </c>
      <c r="K534" s="89">
        <f t="shared" si="40"/>
        <v>0</v>
      </c>
      <c r="L534" s="89">
        <f t="shared" si="40"/>
        <v>44901</v>
      </c>
      <c r="M534" s="8"/>
      <c r="N534" s="270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0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41">SUM(G536:G538)</f>
        <v>0</v>
      </c>
      <c r="H539" s="89">
        <f t="shared" si="41"/>
        <v>0</v>
      </c>
      <c r="I539" s="89">
        <f t="shared" si="41"/>
        <v>0</v>
      </c>
      <c r="J539" s="89">
        <f t="shared" si="41"/>
        <v>0</v>
      </c>
      <c r="K539" s="89">
        <f t="shared" si="41"/>
        <v>0</v>
      </c>
      <c r="L539" s="89">
        <f t="shared" si="41"/>
        <v>0</v>
      </c>
      <c r="M539" s="8"/>
      <c r="N539" s="270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0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813.2</v>
      </c>
      <c r="I541" s="18"/>
      <c r="J541" s="18"/>
      <c r="K541" s="18"/>
      <c r="L541" s="88">
        <f>SUM(F541:K541)</f>
        <v>813.2</v>
      </c>
      <c r="M541" s="8"/>
      <c r="N541" s="270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f>21115.6+599.2</f>
        <v>21714.799999999999</v>
      </c>
      <c r="I543" s="18"/>
      <c r="J543" s="18"/>
      <c r="K543" s="18"/>
      <c r="L543" s="88">
        <f>SUM(F543:K543)</f>
        <v>21714.799999999999</v>
      </c>
      <c r="M543" s="8"/>
      <c r="N543" s="270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2">SUM(G541:G543)</f>
        <v>0</v>
      </c>
      <c r="H544" s="193">
        <f t="shared" si="42"/>
        <v>22528</v>
      </c>
      <c r="I544" s="193">
        <f t="shared" si="42"/>
        <v>0</v>
      </c>
      <c r="J544" s="193">
        <f t="shared" si="42"/>
        <v>0</v>
      </c>
      <c r="K544" s="193">
        <f t="shared" si="42"/>
        <v>0</v>
      </c>
      <c r="L544" s="193">
        <f t="shared" si="42"/>
        <v>22528</v>
      </c>
      <c r="M544" s="8"/>
      <c r="N544" s="270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164715.59</v>
      </c>
      <c r="G545" s="89">
        <f t="shared" ref="G545:L545" si="43">G524+G529+G534+G539+G544</f>
        <v>34517.350000000006</v>
      </c>
      <c r="H545" s="89">
        <f t="shared" si="43"/>
        <v>342478.92000000004</v>
      </c>
      <c r="I545" s="89">
        <f t="shared" si="43"/>
        <v>1301.75</v>
      </c>
      <c r="J545" s="89">
        <f t="shared" si="43"/>
        <v>0</v>
      </c>
      <c r="K545" s="89">
        <f t="shared" si="43"/>
        <v>765</v>
      </c>
      <c r="L545" s="89">
        <f t="shared" si="43"/>
        <v>543778.61</v>
      </c>
      <c r="M545" s="8"/>
      <c r="N545" s="270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0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0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169531.84</v>
      </c>
      <c r="G549" s="87">
        <f>L526</f>
        <v>24958.61</v>
      </c>
      <c r="H549" s="87">
        <f>L531</f>
        <v>44901</v>
      </c>
      <c r="I549" s="87">
        <f>L536</f>
        <v>0</v>
      </c>
      <c r="J549" s="87">
        <f>L541</f>
        <v>813.2</v>
      </c>
      <c r="K549" s="87">
        <f>SUM(F549:J549)</f>
        <v>240204.65000000002</v>
      </c>
      <c r="L549" s="24" t="s">
        <v>286</v>
      </c>
      <c r="M549" s="8"/>
      <c r="N549" s="270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0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266457</v>
      </c>
      <c r="G551" s="87">
        <f>L528</f>
        <v>15402.16</v>
      </c>
      <c r="H551" s="87">
        <f>L533</f>
        <v>0</v>
      </c>
      <c r="I551" s="87">
        <f>L538</f>
        <v>0</v>
      </c>
      <c r="J551" s="87">
        <f>L543</f>
        <v>21714.799999999999</v>
      </c>
      <c r="K551" s="87">
        <f>SUM(F551:J551)</f>
        <v>303573.95999999996</v>
      </c>
      <c r="L551" s="24" t="s">
        <v>286</v>
      </c>
      <c r="M551" s="8"/>
      <c r="N551" s="270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4">SUM(F549:F551)</f>
        <v>435988.83999999997</v>
      </c>
      <c r="G552" s="89">
        <f t="shared" si="44"/>
        <v>40360.770000000004</v>
      </c>
      <c r="H552" s="89">
        <f t="shared" si="44"/>
        <v>44901</v>
      </c>
      <c r="I552" s="89">
        <f t="shared" si="44"/>
        <v>0</v>
      </c>
      <c r="J552" s="89">
        <f t="shared" si="44"/>
        <v>22528</v>
      </c>
      <c r="K552" s="89">
        <f t="shared" si="44"/>
        <v>543778.61</v>
      </c>
      <c r="L552" s="24"/>
      <c r="M552" s="8"/>
      <c r="N552" s="270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0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0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5">SUM(F557:F559)</f>
        <v>0</v>
      </c>
      <c r="G560" s="108">
        <f t="shared" si="45"/>
        <v>0</v>
      </c>
      <c r="H560" s="108">
        <f t="shared" si="45"/>
        <v>0</v>
      </c>
      <c r="I560" s="108">
        <f t="shared" si="45"/>
        <v>0</v>
      </c>
      <c r="J560" s="108">
        <f t="shared" si="45"/>
        <v>0</v>
      </c>
      <c r="K560" s="108">
        <f t="shared" si="45"/>
        <v>0</v>
      </c>
      <c r="L560" s="89">
        <f t="shared" si="45"/>
        <v>0</v>
      </c>
      <c r="M560" s="8"/>
      <c r="N560" s="270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0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6">SUM(F562:F564)</f>
        <v>0</v>
      </c>
      <c r="G565" s="89">
        <f t="shared" si="46"/>
        <v>0</v>
      </c>
      <c r="H565" s="89">
        <f t="shared" si="46"/>
        <v>0</v>
      </c>
      <c r="I565" s="89">
        <f t="shared" si="46"/>
        <v>0</v>
      </c>
      <c r="J565" s="89">
        <f t="shared" si="46"/>
        <v>0</v>
      </c>
      <c r="K565" s="89">
        <f t="shared" si="46"/>
        <v>0</v>
      </c>
      <c r="L565" s="89">
        <f t="shared" si="46"/>
        <v>0</v>
      </c>
      <c r="M565" s="8"/>
      <c r="N565" s="270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0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7">SUM(G567:G569)</f>
        <v>0</v>
      </c>
      <c r="H570" s="193">
        <f t="shared" si="47"/>
        <v>0</v>
      </c>
      <c r="I570" s="193">
        <f t="shared" si="47"/>
        <v>0</v>
      </c>
      <c r="J570" s="193">
        <f t="shared" si="47"/>
        <v>0</v>
      </c>
      <c r="K570" s="193">
        <f t="shared" si="47"/>
        <v>0</v>
      </c>
      <c r="L570" s="193">
        <f t="shared" si="47"/>
        <v>0</v>
      </c>
      <c r="M570" s="8"/>
      <c r="N570" s="270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8">G560+G565+G570</f>
        <v>0</v>
      </c>
      <c r="H571" s="89">
        <f t="shared" si="48"/>
        <v>0</v>
      </c>
      <c r="I571" s="89">
        <f t="shared" si="48"/>
        <v>0</v>
      </c>
      <c r="J571" s="89">
        <f t="shared" si="48"/>
        <v>0</v>
      </c>
      <c r="K571" s="89">
        <f t="shared" si="48"/>
        <v>0</v>
      </c>
      <c r="L571" s="89">
        <f t="shared" si="48"/>
        <v>0</v>
      </c>
      <c r="M571" s="8"/>
      <c r="N571" s="270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0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f>383081</f>
        <v>383081</v>
      </c>
      <c r="I575" s="87">
        <f>SUM(F575:H575)</f>
        <v>383081</v>
      </c>
      <c r="J575" s="24" t="s">
        <v>286</v>
      </c>
      <c r="K575" s="24" t="s">
        <v>286</v>
      </c>
      <c r="L575" s="24" t="s">
        <v>286</v>
      </c>
      <c r="M575" s="8"/>
      <c r="N575" s="270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>
        <f>498669.18</f>
        <v>498669.18</v>
      </c>
      <c r="I576" s="87">
        <f t="shared" ref="I576:I587" si="49">SUM(F576:H576)</f>
        <v>498669.18</v>
      </c>
      <c r="J576" s="24" t="s">
        <v>286</v>
      </c>
      <c r="K576" s="24" t="s">
        <v>286</v>
      </c>
      <c r="L576" s="24" t="s">
        <v>286</v>
      </c>
      <c r="M576" s="8"/>
      <c r="N576" s="270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9"/>
        <v>0</v>
      </c>
      <c r="J577" s="24" t="s">
        <v>286</v>
      </c>
      <c r="K577" s="24" t="s">
        <v>286</v>
      </c>
      <c r="L577" s="24" t="s">
        <v>286</v>
      </c>
      <c r="M577" s="8"/>
      <c r="N577" s="270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9"/>
        <v>0</v>
      </c>
      <c r="J578" s="24" t="s">
        <v>286</v>
      </c>
      <c r="K578" s="24" t="s">
        <v>286</v>
      </c>
      <c r="L578" s="24" t="s">
        <v>286</v>
      </c>
      <c r="M578" s="8"/>
      <c r="N578" s="270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9"/>
        <v>0</v>
      </c>
      <c r="J579" s="24" t="s">
        <v>286</v>
      </c>
      <c r="K579" s="24" t="s">
        <v>286</v>
      </c>
      <c r="L579" s="24" t="s">
        <v>286</v>
      </c>
      <c r="M579" s="8"/>
      <c r="N579" s="270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>
        <v>85030.84</v>
      </c>
      <c r="I580" s="87">
        <f t="shared" si="49"/>
        <v>85030.84</v>
      </c>
      <c r="J580" s="24" t="s">
        <v>286</v>
      </c>
      <c r="K580" s="24" t="s">
        <v>286</v>
      </c>
      <c r="L580" s="24" t="s">
        <v>286</v>
      </c>
      <c r="M580" s="8"/>
      <c r="N580" s="270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9"/>
        <v>0</v>
      </c>
      <c r="J581" s="24" t="s">
        <v>286</v>
      </c>
      <c r="K581" s="24" t="s">
        <v>286</v>
      </c>
      <c r="L581" s="24" t="s">
        <v>286</v>
      </c>
      <c r="M581" s="8"/>
      <c r="N581" s="270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404.54</v>
      </c>
      <c r="G582" s="18"/>
      <c r="H582" s="18">
        <v>107779.94</v>
      </c>
      <c r="I582" s="87">
        <f t="shared" si="49"/>
        <v>108184.48</v>
      </c>
      <c r="J582" s="24" t="s">
        <v>286</v>
      </c>
      <c r="K582" s="24" t="s">
        <v>286</v>
      </c>
      <c r="L582" s="24" t="s">
        <v>286</v>
      </c>
      <c r="M582" s="8"/>
      <c r="N582" s="270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9"/>
        <v>0</v>
      </c>
      <c r="J583" s="24" t="s">
        <v>286</v>
      </c>
      <c r="K583" s="24" t="s">
        <v>286</v>
      </c>
      <c r="L583" s="24" t="s">
        <v>286</v>
      </c>
      <c r="M583" s="8"/>
      <c r="N583" s="270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9"/>
        <v>0</v>
      </c>
      <c r="J584" s="24" t="s">
        <v>286</v>
      </c>
      <c r="K584" s="24" t="s">
        <v>286</v>
      </c>
      <c r="L584" s="24" t="s">
        <v>286</v>
      </c>
      <c r="M584" s="8"/>
      <c r="N584" s="270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9"/>
        <v>0</v>
      </c>
      <c r="J585" s="24" t="s">
        <v>286</v>
      </c>
      <c r="K585" s="24" t="s">
        <v>286</v>
      </c>
      <c r="L585" s="24" t="s">
        <v>286</v>
      </c>
      <c r="M585" s="8"/>
      <c r="N585" s="270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9"/>
        <v>0</v>
      </c>
      <c r="J586" s="24" t="s">
        <v>286</v>
      </c>
      <c r="K586" s="24" t="s">
        <v>286</v>
      </c>
      <c r="L586" s="24" t="s">
        <v>286</v>
      </c>
      <c r="M586" s="8"/>
      <c r="N586" s="270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9"/>
        <v>0</v>
      </c>
      <c r="J587" s="24" t="s">
        <v>286</v>
      </c>
      <c r="K587" s="24" t="s">
        <v>286</v>
      </c>
      <c r="L587" s="24" t="s">
        <v>286</v>
      </c>
      <c r="M587" s="8"/>
      <c r="N587" s="270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68142.33</f>
        <v>68142.33</v>
      </c>
      <c r="I591" s="18"/>
      <c r="J591" s="18">
        <f>2601.17+43363.3</f>
        <v>45964.47</v>
      </c>
      <c r="K591" s="104">
        <f t="shared" ref="K591:K597" si="50">SUM(H591:J591)</f>
        <v>114106.8</v>
      </c>
      <c r="L591" s="24" t="s">
        <v>286</v>
      </c>
      <c r="M591" s="8"/>
      <c r="N591" s="270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813.2</v>
      </c>
      <c r="I592" s="18"/>
      <c r="J592" s="18">
        <v>21714.799999999999</v>
      </c>
      <c r="K592" s="104">
        <f t="shared" si="50"/>
        <v>22528</v>
      </c>
      <c r="L592" s="24" t="s">
        <v>286</v>
      </c>
      <c r="M592" s="8"/>
      <c r="N592" s="270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50"/>
        <v>0</v>
      </c>
      <c r="L593" s="24" t="s">
        <v>286</v>
      </c>
      <c r="M593" s="8"/>
      <c r="N593" s="270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50"/>
        <v>0</v>
      </c>
      <c r="L594" s="24" t="s">
        <v>286</v>
      </c>
      <c r="M594" s="8"/>
      <c r="N594" s="270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f>5091.96+2181.88</f>
        <v>7273.84</v>
      </c>
      <c r="I595" s="18"/>
      <c r="J595" s="18"/>
      <c r="K595" s="104">
        <f t="shared" si="50"/>
        <v>7273.84</v>
      </c>
      <c r="L595" s="24" t="s">
        <v>286</v>
      </c>
      <c r="M595" s="8"/>
      <c r="N595" s="270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0"/>
        <v>0</v>
      </c>
      <c r="L596" s="24" t="s">
        <v>286</v>
      </c>
      <c r="M596" s="8"/>
      <c r="N596" s="270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0</v>
      </c>
      <c r="I597" s="18"/>
      <c r="J597" s="18"/>
      <c r="K597" s="104">
        <f t="shared" si="50"/>
        <v>0</v>
      </c>
      <c r="L597" s="24" t="s">
        <v>286</v>
      </c>
      <c r="M597" s="8"/>
      <c r="N597" s="270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76229.37</v>
      </c>
      <c r="I598" s="108">
        <f>SUM(I591:I597)</f>
        <v>0</v>
      </c>
      <c r="J598" s="108">
        <f>SUM(J591:J597)</f>
        <v>67679.27</v>
      </c>
      <c r="K598" s="108">
        <f>SUM(K591:K597)</f>
        <v>143908.63999999998</v>
      </c>
      <c r="L598" s="24" t="s">
        <v>286</v>
      </c>
      <c r="M598" s="8"/>
      <c r="N598" s="270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>
        <v>0</v>
      </c>
      <c r="I602" s="18"/>
      <c r="J602" s="18"/>
      <c r="K602" s="104">
        <f>SUM(H602:J602)</f>
        <v>0</v>
      </c>
      <c r="L602" s="24" t="s">
        <v>286</v>
      </c>
      <c r="M602" s="8"/>
      <c r="N602" s="270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0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J271+J352</f>
        <v>34370.535999999993</v>
      </c>
      <c r="I604" s="18"/>
      <c r="J604" s="18"/>
      <c r="K604" s="104">
        <f>SUM(H604:J604)</f>
        <v>34370.535999999993</v>
      </c>
      <c r="L604" s="24" t="s">
        <v>286</v>
      </c>
      <c r="M604" s="8"/>
      <c r="N604" s="270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34370.535999999993</v>
      </c>
      <c r="I605" s="108">
        <f>SUM(I602:I604)</f>
        <v>0</v>
      </c>
      <c r="J605" s="108">
        <f>SUM(J602:J604)</f>
        <v>0</v>
      </c>
      <c r="K605" s="108">
        <f>SUM(K602:K604)</f>
        <v>34370.535999999993</v>
      </c>
      <c r="L605" s="24" t="s">
        <v>286</v>
      </c>
      <c r="M605" s="8"/>
      <c r="N605" s="270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0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51">SUM(F611:F613)</f>
        <v>0</v>
      </c>
      <c r="G614" s="108">
        <f t="shared" si="51"/>
        <v>0</v>
      </c>
      <c r="H614" s="108">
        <f t="shared" si="51"/>
        <v>0</v>
      </c>
      <c r="I614" s="108">
        <f t="shared" si="51"/>
        <v>0</v>
      </c>
      <c r="J614" s="108">
        <f t="shared" si="51"/>
        <v>0</v>
      </c>
      <c r="K614" s="108">
        <f t="shared" si="51"/>
        <v>0</v>
      </c>
      <c r="L614" s="89">
        <f t="shared" si="51"/>
        <v>0</v>
      </c>
      <c r="M614" s="8"/>
      <c r="N614" s="270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481586.72000000003</v>
      </c>
      <c r="H617" s="109">
        <f>SUM(F52)</f>
        <v>481586.72000000003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13692.75</v>
      </c>
      <c r="H618" s="109">
        <f>SUM(G52)</f>
        <v>13692.75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33460.28</v>
      </c>
      <c r="H619" s="109">
        <f>SUM(H52)</f>
        <v>33460.28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126456.79</v>
      </c>
      <c r="H621" s="109">
        <f>SUM(J52)</f>
        <v>126456.79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379686.96</v>
      </c>
      <c r="H622" s="109">
        <f>F476</f>
        <v>379686.96399999922</v>
      </c>
      <c r="I622" s="121" t="s">
        <v>101</v>
      </c>
      <c r="J622" s="109">
        <f t="shared" ref="J622:J655" si="52">G622-H622</f>
        <v>-3.9999992004595697E-3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2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2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2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126456.79</v>
      </c>
      <c r="H626" s="109">
        <f>J476</f>
        <v>126456.79000000001</v>
      </c>
      <c r="I626" s="140" t="s">
        <v>105</v>
      </c>
      <c r="J626" s="109">
        <f t="shared" si="52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3387905.0199999996</v>
      </c>
      <c r="H627" s="104">
        <f>SUM(F468)</f>
        <v>3387905.0199999996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93158.700000000012</v>
      </c>
      <c r="H628" s="104">
        <f>SUM(G468)</f>
        <v>93158.700000000012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53178.06</v>
      </c>
      <c r="H629" s="104">
        <f>SUM(H468)</f>
        <v>53178.06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937.67</v>
      </c>
      <c r="H631" s="104">
        <f>SUM(J468)</f>
        <v>937.67000000000007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3381330.5160000003</v>
      </c>
      <c r="H632" s="104">
        <f>SUM(F472)</f>
        <v>3381330.5160000003</v>
      </c>
      <c r="I632" s="140" t="s">
        <v>111</v>
      </c>
      <c r="J632" s="109">
        <f t="shared" si="52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53178.06</v>
      </c>
      <c r="H633" s="104">
        <f>SUM(H472)</f>
        <v>53178.06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424.48</v>
      </c>
      <c r="H634" s="104">
        <f>I369</f>
        <v>424.48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93158.7</v>
      </c>
      <c r="H635" s="104">
        <f>SUM(G472)</f>
        <v>93158.7</v>
      </c>
      <c r="I635" s="140" t="s">
        <v>114</v>
      </c>
      <c r="J635" s="109">
        <f t="shared" si="52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2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937.67000000000007</v>
      </c>
      <c r="H637" s="164">
        <f>SUM(J468)</f>
        <v>937.67000000000007</v>
      </c>
      <c r="I637" s="165" t="s">
        <v>110</v>
      </c>
      <c r="J637" s="151">
        <f t="shared" si="52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2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2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126456.79</v>
      </c>
      <c r="H640" s="104">
        <f>SUM(G461)</f>
        <v>126456.79</v>
      </c>
      <c r="I640" s="140" t="s">
        <v>852</v>
      </c>
      <c r="J640" s="109">
        <f t="shared" si="52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2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126456.79</v>
      </c>
      <c r="H642" s="104">
        <f>SUM(I461)</f>
        <v>126456.79</v>
      </c>
      <c r="I642" s="140" t="s">
        <v>854</v>
      </c>
      <c r="J642" s="109">
        <f t="shared" si="52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2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937.67</v>
      </c>
      <c r="H644" s="104">
        <f>H408</f>
        <v>937.67000000000007</v>
      </c>
      <c r="I644" s="140" t="s">
        <v>478</v>
      </c>
      <c r="J644" s="109">
        <f t="shared" si="52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2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937.67</v>
      </c>
      <c r="H646" s="104">
        <f>L408</f>
        <v>937.67000000000007</v>
      </c>
      <c r="I646" s="140" t="s">
        <v>475</v>
      </c>
      <c r="J646" s="109">
        <f t="shared" si="52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143908.63999999998</v>
      </c>
      <c r="H647" s="104">
        <f>L208+L226+L244</f>
        <v>143908.64000000001</v>
      </c>
      <c r="I647" s="140" t="s">
        <v>394</v>
      </c>
      <c r="J647" s="109">
        <f t="shared" si="52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34370.535999999993</v>
      </c>
      <c r="H648" s="104">
        <f>(J257+J338)-(J255+J336)</f>
        <v>34370.535999999993</v>
      </c>
      <c r="I648" s="140" t="s">
        <v>697</v>
      </c>
      <c r="J648" s="109">
        <f t="shared" si="52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76229.37</v>
      </c>
      <c r="H649" s="104">
        <f>H598</f>
        <v>76229.37</v>
      </c>
      <c r="I649" s="140" t="s">
        <v>386</v>
      </c>
      <c r="J649" s="109">
        <f t="shared" si="52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2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67679.27</v>
      </c>
      <c r="H651" s="104">
        <f>J598</f>
        <v>67679.27</v>
      </c>
      <c r="I651" s="140" t="s">
        <v>388</v>
      </c>
      <c r="J651" s="109">
        <f t="shared" si="52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27256.07</v>
      </c>
      <c r="H652" s="104">
        <f>K263+K345</f>
        <v>27256.07</v>
      </c>
      <c r="I652" s="140" t="s">
        <v>395</v>
      </c>
      <c r="J652" s="109">
        <f t="shared" si="52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2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2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2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-4.0000006556510925E-3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2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2243049.8460000004</v>
      </c>
      <c r="G660" s="19">
        <f>(L229+L309+L359)</f>
        <v>0</v>
      </c>
      <c r="H660" s="19">
        <f>(L247+L328+L360)</f>
        <v>1202386.4500000002</v>
      </c>
      <c r="I660" s="19">
        <f>SUM(F660:H660)</f>
        <v>3445436.2960000006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56737.11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56737.11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76539.37</v>
      </c>
      <c r="G662" s="19">
        <f>(L226+L306)-(J226+J306)</f>
        <v>0</v>
      </c>
      <c r="H662" s="19">
        <f>(L244+L325)-(J244+J325)</f>
        <v>67679.27</v>
      </c>
      <c r="I662" s="19">
        <f>SUM(F662:H662)</f>
        <v>144218.64000000001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34775.075999999994</v>
      </c>
      <c r="G663" s="199">
        <f>SUM(G575:G587)+SUM(I602:I604)+L612</f>
        <v>0</v>
      </c>
      <c r="H663" s="199">
        <f>SUM(H575:H587)+SUM(J602:J604)+L613</f>
        <v>1074560.96</v>
      </c>
      <c r="I663" s="19">
        <f>SUM(F663:H663)</f>
        <v>1109336.0359999998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2074998.2900000005</v>
      </c>
      <c r="G664" s="19">
        <f>G660-SUM(G661:G663)</f>
        <v>0</v>
      </c>
      <c r="H664" s="19">
        <f>H660-SUM(H661:H663)</f>
        <v>60146.220000000205</v>
      </c>
      <c r="I664" s="19">
        <f>I660-SUM(I661:I663)</f>
        <v>2135144.5100000007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85.84</v>
      </c>
      <c r="G665" s="248"/>
      <c r="H665" s="248"/>
      <c r="I665" s="19">
        <f>SUM(F665:H665)</f>
        <v>85.84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24172.86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24873.54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-60146.22</v>
      </c>
      <c r="I669" s="19">
        <f>SUM(F669:H669)</f>
        <v>-60146.22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24172.86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24172.86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4"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Cornish School Distrct</v>
      </c>
      <c r="C1" s="238" t="s">
        <v>833</v>
      </c>
    </row>
    <row r="2" spans="1:3" x14ac:dyDescent="0.2">
      <c r="A2" s="233"/>
      <c r="B2" s="232"/>
    </row>
    <row r="3" spans="1:3" x14ac:dyDescent="0.2">
      <c r="A3" s="277" t="s">
        <v>778</v>
      </c>
      <c r="B3" s="277"/>
      <c r="C3" s="277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777</v>
      </c>
      <c r="C6" s="276"/>
    </row>
    <row r="7" spans="1:3" x14ac:dyDescent="0.2">
      <c r="A7" s="239" t="s">
        <v>780</v>
      </c>
      <c r="B7" s="274" t="s">
        <v>776</v>
      </c>
      <c r="C7" s="275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550324.01</v>
      </c>
      <c r="C9" s="229">
        <f>'DOE25'!G197+'DOE25'!G215+'DOE25'!G233+'DOE25'!G276+'DOE25'!G295+'DOE25'!G314</f>
        <v>240871.56</v>
      </c>
    </row>
    <row r="10" spans="1:3" x14ac:dyDescent="0.2">
      <c r="A10" t="s">
        <v>773</v>
      </c>
      <c r="B10" s="240">
        <f>455586.33+7507.47</f>
        <v>463093.8</v>
      </c>
      <c r="C10" s="273">
        <v>202691.73069938924</v>
      </c>
    </row>
    <row r="11" spans="1:3" x14ac:dyDescent="0.2">
      <c r="A11" t="s">
        <v>774</v>
      </c>
      <c r="B11" s="240">
        <v>65107.33</v>
      </c>
      <c r="C11" s="273">
        <v>28496.85614213852</v>
      </c>
    </row>
    <row r="12" spans="1:3" x14ac:dyDescent="0.2">
      <c r="A12" t="s">
        <v>775</v>
      </c>
      <c r="B12" s="240">
        <v>22122.880000000001</v>
      </c>
      <c r="C12" s="273">
        <v>9682.9731584722249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550324.01</v>
      </c>
      <c r="C13" s="231">
        <f>SUM(C10:C12)</f>
        <v>240871.55999999997</v>
      </c>
    </row>
    <row r="14" spans="1:3" x14ac:dyDescent="0.2">
      <c r="B14" s="230"/>
      <c r="C14" s="230"/>
    </row>
    <row r="15" spans="1:3" x14ac:dyDescent="0.2">
      <c r="B15" s="276" t="s">
        <v>777</v>
      </c>
      <c r="C15" s="276"/>
    </row>
    <row r="16" spans="1:3" x14ac:dyDescent="0.2">
      <c r="A16" s="239" t="s">
        <v>781</v>
      </c>
      <c r="B16" s="274" t="s">
        <v>701</v>
      </c>
      <c r="C16" s="275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119814.59</v>
      </c>
      <c r="C18" s="229">
        <f>'DOE25'!G198+'DOE25'!G216+'DOE25'!G234+'DOE25'!G277+'DOE25'!G296+'DOE25'!G315</f>
        <v>34517.350000000006</v>
      </c>
    </row>
    <row r="19" spans="1:3" x14ac:dyDescent="0.2">
      <c r="A19" t="s">
        <v>773</v>
      </c>
      <c r="B19" s="240">
        <f>41939.62+17692.39+57.6</f>
        <v>59689.61</v>
      </c>
      <c r="C19" s="240">
        <v>17195.96</v>
      </c>
    </row>
    <row r="20" spans="1:3" x14ac:dyDescent="0.2">
      <c r="A20" t="s">
        <v>774</v>
      </c>
      <c r="B20" s="240">
        <f>33045.42+18500</f>
        <v>51545.42</v>
      </c>
      <c r="C20" s="240">
        <v>14849.7</v>
      </c>
    </row>
    <row r="21" spans="1:3" x14ac:dyDescent="0.2">
      <c r="A21" t="s">
        <v>775</v>
      </c>
      <c r="B21" s="240">
        <f>2607.5+127.5+5844.56</f>
        <v>8579.5600000000013</v>
      </c>
      <c r="C21" s="240">
        <v>2471.69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119814.59</v>
      </c>
      <c r="C22" s="231">
        <f>SUM(C19:C21)</f>
        <v>34517.35</v>
      </c>
    </row>
    <row r="23" spans="1:3" x14ac:dyDescent="0.2">
      <c r="B23" s="230"/>
      <c r="C23" s="230"/>
    </row>
    <row r="24" spans="1:3" x14ac:dyDescent="0.2">
      <c r="B24" s="276" t="s">
        <v>777</v>
      </c>
      <c r="C24" s="276"/>
    </row>
    <row r="25" spans="1:3" x14ac:dyDescent="0.2">
      <c r="A25" s="239" t="s">
        <v>782</v>
      </c>
      <c r="B25" s="274" t="s">
        <v>702</v>
      </c>
      <c r="C25" s="275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777</v>
      </c>
      <c r="C33" s="276"/>
    </row>
    <row r="34" spans="1:3" x14ac:dyDescent="0.2">
      <c r="A34" s="239" t="s">
        <v>783</v>
      </c>
      <c r="B34" s="274" t="s">
        <v>703</v>
      </c>
      <c r="C34" s="275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2150</v>
      </c>
      <c r="C36" s="235">
        <f>'DOE25'!G200+'DOE25'!G218+'DOE25'!G236+'DOE25'!G279+'DOE25'!G298+'DOE25'!G317</f>
        <v>0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2150</v>
      </c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2150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12" activePane="bottomLeft" state="frozen"/>
      <selection activeCell="F46" sqref="F46"/>
      <selection pane="bottomLeft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784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711</v>
      </c>
      <c r="B2" s="265" t="str">
        <f>'DOE25'!A2</f>
        <v>Cornish School Distrct</v>
      </c>
      <c r="C2" s="181"/>
      <c r="D2" s="181" t="s">
        <v>786</v>
      </c>
      <c r="E2" s="181" t="s">
        <v>788</v>
      </c>
      <c r="F2" s="278" t="s">
        <v>815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2169446.29</v>
      </c>
      <c r="D5" s="20">
        <f>SUM('DOE25'!L197:L200)+SUM('DOE25'!L215:L218)+SUM('DOE25'!L233:L236)-F5-G5</f>
        <v>2155062.04</v>
      </c>
      <c r="E5" s="243"/>
      <c r="F5" s="255">
        <f>SUM('DOE25'!J197:J200)+SUM('DOE25'!J215:J218)+SUM('DOE25'!J233:J236)</f>
        <v>12739.25</v>
      </c>
      <c r="G5" s="53">
        <f>SUM('DOE25'!K197:K200)+SUM('DOE25'!K215:K218)+SUM('DOE25'!K233:K236)</f>
        <v>1645</v>
      </c>
      <c r="H5" s="259"/>
    </row>
    <row r="6" spans="1:9" x14ac:dyDescent="0.2">
      <c r="A6" s="32">
        <v>2100</v>
      </c>
      <c r="B6" t="s">
        <v>795</v>
      </c>
      <c r="C6" s="245">
        <f t="shared" si="0"/>
        <v>123971.936</v>
      </c>
      <c r="D6" s="20">
        <f>'DOE25'!L202+'DOE25'!L220+'DOE25'!L238-F6-G6</f>
        <v>106527.35</v>
      </c>
      <c r="E6" s="243"/>
      <c r="F6" s="255">
        <f>'DOE25'!J202+'DOE25'!J220+'DOE25'!J238</f>
        <v>17444.585999999999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62396.880000000005</v>
      </c>
      <c r="D7" s="20">
        <f>'DOE25'!L203+'DOE25'!L221+'DOE25'!L239-F7-G7</f>
        <v>62396.880000000005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113918.28999999998</v>
      </c>
      <c r="D8" s="243"/>
      <c r="E8" s="20">
        <f>'DOE25'!L204+'DOE25'!L222+'DOE25'!L240-F8-G8-D9-D11</f>
        <v>107655.12999999998</v>
      </c>
      <c r="F8" s="255">
        <f>'DOE25'!J204+'DOE25'!J222+'DOE25'!J240</f>
        <v>1303.3599999999999</v>
      </c>
      <c r="G8" s="53">
        <f>'DOE25'!K204+'DOE25'!K222+'DOE25'!K240</f>
        <v>4959.8</v>
      </c>
      <c r="H8" s="259"/>
    </row>
    <row r="9" spans="1:9" x14ac:dyDescent="0.2">
      <c r="A9" s="32">
        <v>2310</v>
      </c>
      <c r="B9" t="s">
        <v>812</v>
      </c>
      <c r="C9" s="245">
        <f t="shared" si="0"/>
        <v>53101.630000000005</v>
      </c>
      <c r="D9" s="244">
        <f>23101.63+30000</f>
        <v>53101.630000000005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30000</v>
      </c>
      <c r="D10" s="243"/>
      <c r="E10" s="244">
        <v>30000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59235</v>
      </c>
      <c r="D11" s="244">
        <v>59235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249470.37</v>
      </c>
      <c r="D12" s="20">
        <f>'DOE25'!L205+'DOE25'!L223+'DOE25'!L241-F12-G12</f>
        <v>248076.6</v>
      </c>
      <c r="E12" s="243"/>
      <c r="F12" s="255">
        <f>'DOE25'!J205+'DOE25'!J223+'DOE25'!J241</f>
        <v>0</v>
      </c>
      <c r="G12" s="53">
        <f>'DOE25'!K205+'DOE25'!K223+'DOE25'!K241</f>
        <v>1393.77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323650.5</v>
      </c>
      <c r="D14" s="20">
        <f>'DOE25'!L207+'DOE25'!L225+'DOE25'!L243-F14-G14</f>
        <v>321945.5</v>
      </c>
      <c r="E14" s="243"/>
      <c r="F14" s="255">
        <f>'DOE25'!J207+'DOE25'!J225+'DOE25'!J243</f>
        <v>1655</v>
      </c>
      <c r="G14" s="53">
        <f>'DOE25'!K207+'DOE25'!K225+'DOE25'!K243</f>
        <v>50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143908.64000000001</v>
      </c>
      <c r="D15" s="20">
        <f>'DOE25'!L208+'DOE25'!L226+'DOE25'!L244-F15-G15</f>
        <v>143908.64000000001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54974.91</v>
      </c>
      <c r="D25" s="243"/>
      <c r="E25" s="243"/>
      <c r="F25" s="258"/>
      <c r="G25" s="256"/>
      <c r="H25" s="257">
        <f>'DOE25'!L260+'DOE25'!L261+'DOE25'!L341+'DOE25'!L342</f>
        <v>54974.91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93158.7</v>
      </c>
      <c r="D29" s="20">
        <f>'DOE25'!L358+'DOE25'!L359+'DOE25'!L360-'DOE25'!I367-F29-G29</f>
        <v>84479.86</v>
      </c>
      <c r="E29" s="243"/>
      <c r="F29" s="255">
        <f>'DOE25'!J358+'DOE25'!J359+'DOE25'!J360</f>
        <v>8678.84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53178.06</v>
      </c>
      <c r="D31" s="20">
        <f>'DOE25'!L290+'DOE25'!L309+'DOE25'!L328+'DOE25'!L333+'DOE25'!L334+'DOE25'!L335-F31-G31</f>
        <v>51724.72</v>
      </c>
      <c r="E31" s="243"/>
      <c r="F31" s="255">
        <f>'DOE25'!J290+'DOE25'!J309+'DOE25'!J328+'DOE25'!J333+'DOE25'!J334+'DOE25'!J335</f>
        <v>1228.3399999999999</v>
      </c>
      <c r="G31" s="53">
        <f>'DOE25'!K290+'DOE25'!K309+'DOE25'!K328+'DOE25'!K333+'DOE25'!K334+'DOE25'!K335</f>
        <v>225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3286458.22</v>
      </c>
      <c r="E33" s="246">
        <f>SUM(E5:E31)</f>
        <v>137655.12999999998</v>
      </c>
      <c r="F33" s="246">
        <f>SUM(F5:F31)</f>
        <v>43049.375999999989</v>
      </c>
      <c r="G33" s="246">
        <f>SUM(G5:G31)</f>
        <v>8273.57</v>
      </c>
      <c r="H33" s="246">
        <f>SUM(H5:H31)</f>
        <v>54974.91</v>
      </c>
    </row>
    <row r="35" spans="2:8" ht="12" thickBot="1" x14ac:dyDescent="0.25">
      <c r="B35" s="253" t="s">
        <v>841</v>
      </c>
      <c r="D35" s="254">
        <f>E33</f>
        <v>137655.12999999998</v>
      </c>
      <c r="E35" s="249"/>
    </row>
    <row r="36" spans="2:8" ht="12" thickTop="1" x14ac:dyDescent="0.2">
      <c r="B36" t="s">
        <v>809</v>
      </c>
      <c r="D36" s="20">
        <f>D33</f>
        <v>3286458.22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87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Cornish School Distrct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411788.78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126456.79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43259.64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23167.32</v>
      </c>
      <c r="D11" s="95">
        <f>'DOE25'!G12</f>
        <v>7300.13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33460.28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3370.98</v>
      </c>
      <c r="D13" s="95">
        <f>'DOE25'!G14</f>
        <v>6392.62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481586.72000000003</v>
      </c>
      <c r="D18" s="41">
        <f>SUM(D8:D17)</f>
        <v>13692.75</v>
      </c>
      <c r="E18" s="41">
        <f>SUM(E8:E17)</f>
        <v>33460.28</v>
      </c>
      <c r="F18" s="41">
        <f>SUM(F8:F17)</f>
        <v>0</v>
      </c>
      <c r="G18" s="41">
        <f>SUM(G8:G17)</f>
        <v>126456.79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30467.449999999997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21899.33</v>
      </c>
      <c r="D23" s="95">
        <f>'DOE25'!G24</f>
        <v>13692.75</v>
      </c>
      <c r="E23" s="95">
        <f>'DOE25'!H24</f>
        <v>1013.45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22.29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546.66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80000.429999999993</v>
      </c>
      <c r="D30" s="95">
        <f>'DOE25'!G31</f>
        <v>0</v>
      </c>
      <c r="E30" s="95">
        <f>'DOE25'!H31</f>
        <v>1410.43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101899.76</v>
      </c>
      <c r="D31" s="41">
        <f>SUM(D21:D30)</f>
        <v>13692.75</v>
      </c>
      <c r="E31" s="41">
        <f>SUM(E21:E30)</f>
        <v>33460.28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200551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67518.23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126456.79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40000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71617.73000000004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379686.96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126456.79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481586.72000000003</v>
      </c>
      <c r="D51" s="41">
        <f>D50+D31</f>
        <v>13692.75</v>
      </c>
      <c r="E51" s="41">
        <f>E50+E31</f>
        <v>33460.28</v>
      </c>
      <c r="F51" s="41">
        <f>F50+F31</f>
        <v>0</v>
      </c>
      <c r="G51" s="41">
        <f>G50+G31</f>
        <v>126456.79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2304609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180.22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937.67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56737.11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8934.0499999999993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9114.2699999999986</v>
      </c>
      <c r="D62" s="130">
        <f>SUM(D57:D61)</f>
        <v>56737.11</v>
      </c>
      <c r="E62" s="130">
        <f>SUM(E57:E61)</f>
        <v>0</v>
      </c>
      <c r="F62" s="130">
        <f>SUM(F57:F61)</f>
        <v>0</v>
      </c>
      <c r="G62" s="130">
        <f>SUM(G57:G61)</f>
        <v>937.67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2313723.27</v>
      </c>
      <c r="D63" s="22">
        <f>D56+D62</f>
        <v>56737.11</v>
      </c>
      <c r="E63" s="22">
        <f>E56+E62</f>
        <v>0</v>
      </c>
      <c r="F63" s="22">
        <f>F56+F62</f>
        <v>0</v>
      </c>
      <c r="G63" s="22">
        <f>G56+G62</f>
        <v>937.67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557379.37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396120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1233.28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954732.65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15466.66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31975.18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327.49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47441.84</v>
      </c>
      <c r="D78" s="130">
        <f>SUM(D72:D77)</f>
        <v>327.49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1002174.49</v>
      </c>
      <c r="D81" s="130">
        <f>SUM(D79:D80)+D78+D70</f>
        <v>327.49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12985.26</v>
      </c>
      <c r="D88" s="95">
        <f>SUM('DOE25'!G153:G161)</f>
        <v>8838.0300000000007</v>
      </c>
      <c r="E88" s="95">
        <f>SUM('DOE25'!H153:H161)</f>
        <v>53178.06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12985.26</v>
      </c>
      <c r="D91" s="131">
        <f>SUM(D85:D90)</f>
        <v>8838.0300000000007</v>
      </c>
      <c r="E91" s="131">
        <f>SUM(E85:E90)</f>
        <v>53178.06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27256.07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59022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59022</v>
      </c>
      <c r="D103" s="86">
        <f>SUM(D93:D102)</f>
        <v>27256.07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3387905.0199999996</v>
      </c>
      <c r="D104" s="86">
        <f>D63+D81+D91+D103</f>
        <v>93158.700000000012</v>
      </c>
      <c r="E104" s="86">
        <f>E63+E81+E91+E103</f>
        <v>53178.06</v>
      </c>
      <c r="F104" s="86">
        <f>F63+F81+F91+F103</f>
        <v>0</v>
      </c>
      <c r="G104" s="86">
        <f>G63+G81+G103</f>
        <v>937.67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1782859.53</v>
      </c>
      <c r="D109" s="24" t="s">
        <v>286</v>
      </c>
      <c r="E109" s="95">
        <f>('DOE25'!L276)+('DOE25'!L295)+('DOE25'!L314)</f>
        <v>10074.390000000001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382344.17</v>
      </c>
      <c r="D110" s="24" t="s">
        <v>286</v>
      </c>
      <c r="E110" s="95">
        <f>('DOE25'!L277)+('DOE25'!L296)+('DOE25'!L315)</f>
        <v>40144.67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4242.59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2169446.29</v>
      </c>
      <c r="D115" s="86">
        <f>SUM(D109:D114)</f>
        <v>0</v>
      </c>
      <c r="E115" s="86">
        <f>SUM(E109:E114)</f>
        <v>50219.06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123971.936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62396.880000000005</v>
      </c>
      <c r="D119" s="24" t="s">
        <v>286</v>
      </c>
      <c r="E119" s="95">
        <f>+('DOE25'!L282)+('DOE25'!L301)+('DOE25'!L320)</f>
        <v>2649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226254.91999999995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249470.37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323650.5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143908.64000000001</v>
      </c>
      <c r="D124" s="24" t="s">
        <v>286</v>
      </c>
      <c r="E124" s="95">
        <f>+('DOE25'!L287)+('DOE25'!L306)+('DOE25'!L325)</f>
        <v>310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93158.7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1129653.2459999998</v>
      </c>
      <c r="D128" s="86">
        <f>SUM(D118:D127)</f>
        <v>93158.7</v>
      </c>
      <c r="E128" s="86">
        <f>SUM(E118:E127)</f>
        <v>2959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51111.11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3863.8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27256.07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937.67000000000007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-937.67000000000007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82230.98000000001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3381330.5159999998</v>
      </c>
      <c r="D145" s="86">
        <f>(D115+D128+D144)</f>
        <v>93158.7</v>
      </c>
      <c r="E145" s="86">
        <f>(E115+E128+E144)</f>
        <v>53178.06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9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7/15/11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7/15/19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460000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0.03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102222.22999999998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102222.22999999998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51111.1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51111.1</v>
      </c>
    </row>
    <row r="159" spans="1:9" x14ac:dyDescent="0.2">
      <c r="A159" s="22" t="s">
        <v>35</v>
      </c>
      <c r="B159" s="137">
        <f>'DOE25'!F498</f>
        <v>51111.1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51111.1</v>
      </c>
    </row>
    <row r="160" spans="1:9" x14ac:dyDescent="0.2">
      <c r="A160" s="22" t="s">
        <v>36</v>
      </c>
      <c r="B160" s="137">
        <f>'DOE25'!F499</f>
        <v>2286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2286</v>
      </c>
    </row>
    <row r="161" spans="1:7" x14ac:dyDescent="0.2">
      <c r="A161" s="22" t="s">
        <v>37</v>
      </c>
      <c r="B161" s="137">
        <f>'DOE25'!F500</f>
        <v>53397.1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53397.1</v>
      </c>
    </row>
    <row r="162" spans="1:7" x14ac:dyDescent="0.2">
      <c r="A162" s="22" t="s">
        <v>38</v>
      </c>
      <c r="B162" s="137">
        <f>'DOE25'!F501</f>
        <v>51111.1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51111.1</v>
      </c>
    </row>
    <row r="163" spans="1:7" x14ac:dyDescent="0.2">
      <c r="A163" s="22" t="s">
        <v>39</v>
      </c>
      <c r="B163" s="137">
        <f>'DOE25'!F502</f>
        <v>2286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2286</v>
      </c>
    </row>
    <row r="164" spans="1:7" x14ac:dyDescent="0.2">
      <c r="A164" s="22" t="s">
        <v>246</v>
      </c>
      <c r="B164" s="137">
        <f>'DOE25'!F503</f>
        <v>53397.1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53397.1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734</v>
      </c>
      <c r="B1" s="282"/>
      <c r="C1" s="282"/>
      <c r="D1" s="282"/>
    </row>
    <row r="2" spans="1:4" x14ac:dyDescent="0.2">
      <c r="A2" s="187" t="s">
        <v>711</v>
      </c>
      <c r="B2" s="186" t="str">
        <f>'DOE25'!A2</f>
        <v>Cornish School Distrct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24173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24173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1792934</v>
      </c>
      <c r="D10" s="182">
        <f>ROUND((C10/$C$28)*100,1)</f>
        <v>52.8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422489</v>
      </c>
      <c r="D11" s="182">
        <f>ROUND((C11/$C$28)*100,1)</f>
        <v>12.5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4243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123972</v>
      </c>
      <c r="D15" s="182">
        <f t="shared" ref="D15:D27" si="0">ROUND((C15/$C$28)*100,1)</f>
        <v>3.7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65046</v>
      </c>
      <c r="D16" s="182">
        <f t="shared" si="0"/>
        <v>1.9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226255</v>
      </c>
      <c r="D17" s="182">
        <f t="shared" si="0"/>
        <v>6.7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249470</v>
      </c>
      <c r="D18" s="182">
        <f t="shared" si="0"/>
        <v>7.4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323651</v>
      </c>
      <c r="D20" s="182">
        <f t="shared" si="0"/>
        <v>9.5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144219</v>
      </c>
      <c r="D21" s="182">
        <f t="shared" si="0"/>
        <v>4.3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3864</v>
      </c>
      <c r="D25" s="182">
        <f t="shared" si="0"/>
        <v>0.1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36421.89</v>
      </c>
      <c r="D27" s="182">
        <f t="shared" si="0"/>
        <v>1.1000000000000001</v>
      </c>
    </row>
    <row r="28" spans="1:4" x14ac:dyDescent="0.2">
      <c r="B28" s="187" t="s">
        <v>717</v>
      </c>
      <c r="C28" s="180">
        <f>SUM(C10:C27)</f>
        <v>3392564.89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3392564.89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51111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2304609</v>
      </c>
      <c r="D35" s="182">
        <f t="shared" ref="D35:D40" si="1">ROUND((C35/$C$41)*100,1)</f>
        <v>67.900000000000006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10051.939999999944</v>
      </c>
      <c r="D36" s="182">
        <f t="shared" si="1"/>
        <v>0.3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953499</v>
      </c>
      <c r="D37" s="182">
        <f t="shared" si="1"/>
        <v>28.1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49003</v>
      </c>
      <c r="D38" s="182">
        <f t="shared" si="1"/>
        <v>1.4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75001</v>
      </c>
      <c r="D39" s="182">
        <f t="shared" si="1"/>
        <v>2.2000000000000002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3392163.94</v>
      </c>
      <c r="D41" s="184">
        <f>SUM(D35:D40)</f>
        <v>99.90000000000002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764</v>
      </c>
      <c r="B1" s="291"/>
      <c r="C1" s="291"/>
      <c r="D1" s="291"/>
      <c r="E1" s="291"/>
      <c r="F1" s="291"/>
      <c r="G1" s="291"/>
      <c r="H1" s="291"/>
      <c r="I1" s="291"/>
      <c r="J1" s="213"/>
      <c r="K1" s="213"/>
      <c r="L1" s="213"/>
      <c r="M1" s="214"/>
    </row>
    <row r="2" spans="1:26" ht="12.75" x14ac:dyDescent="0.2">
      <c r="A2" s="297" t="s">
        <v>761</v>
      </c>
      <c r="B2" s="298"/>
      <c r="C2" s="298"/>
      <c r="D2" s="298"/>
      <c r="E2" s="298"/>
      <c r="F2" s="294" t="str">
        <f>'DOE25'!A2</f>
        <v>Cornish School Distrct</v>
      </c>
      <c r="G2" s="295"/>
      <c r="H2" s="295"/>
      <c r="I2" s="295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2" t="s">
        <v>765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6"/>
      <c r="Q29" s="296"/>
      <c r="R29" s="296"/>
      <c r="S29" s="296"/>
      <c r="T29" s="296"/>
      <c r="U29" s="296"/>
      <c r="V29" s="296"/>
      <c r="W29" s="296"/>
      <c r="X29" s="296"/>
      <c r="Y29" s="296"/>
      <c r="Z29" s="296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6"/>
      <c r="Q30" s="296"/>
      <c r="R30" s="296"/>
      <c r="S30" s="296"/>
      <c r="T30" s="296"/>
      <c r="U30" s="296"/>
      <c r="V30" s="296"/>
      <c r="W30" s="296"/>
      <c r="X30" s="296"/>
      <c r="Y30" s="296"/>
      <c r="Z30" s="296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6"/>
      <c r="Q31" s="296"/>
      <c r="R31" s="296"/>
      <c r="S31" s="296"/>
      <c r="T31" s="296"/>
      <c r="U31" s="296"/>
      <c r="V31" s="296"/>
      <c r="W31" s="296"/>
      <c r="X31" s="296"/>
      <c r="Y31" s="296"/>
      <c r="Z31" s="296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300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6"/>
      <c r="Q39" s="296"/>
      <c r="R39" s="296"/>
      <c r="S39" s="296"/>
      <c r="T39" s="296"/>
      <c r="U39" s="296"/>
      <c r="V39" s="296"/>
      <c r="W39" s="296"/>
      <c r="X39" s="296"/>
      <c r="Y39" s="296"/>
      <c r="Z39" s="296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6"/>
      <c r="Q40" s="296"/>
      <c r="R40" s="296"/>
      <c r="S40" s="296"/>
      <c r="T40" s="296"/>
      <c r="U40" s="296"/>
      <c r="V40" s="296"/>
      <c r="W40" s="296"/>
      <c r="X40" s="296"/>
      <c r="Y40" s="296"/>
      <c r="Z40" s="296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842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970A" sheet="1" objects="1" scenarios="1"/>
  <mergeCells count="223">
    <mergeCell ref="C46:M46"/>
    <mergeCell ref="GC40:GM40"/>
    <mergeCell ref="GP40:GZ40"/>
    <mergeCell ref="HC40:HM40"/>
    <mergeCell ref="C42:M42"/>
    <mergeCell ref="FC40:FM40"/>
    <mergeCell ref="FP40:FZ40"/>
    <mergeCell ref="AC40:AM40"/>
    <mergeCell ref="BP40:BZ40"/>
    <mergeCell ref="CC40:CM40"/>
    <mergeCell ref="C45:M45"/>
    <mergeCell ref="DC40:DM40"/>
    <mergeCell ref="EP40:EZ40"/>
    <mergeCell ref="C44:M44"/>
    <mergeCell ref="DP40:DZ40"/>
    <mergeCell ref="CP40:CZ40"/>
    <mergeCell ref="AP40:AZ40"/>
    <mergeCell ref="C43:M43"/>
    <mergeCell ref="BC40:BM40"/>
    <mergeCell ref="EC39:EM39"/>
    <mergeCell ref="GC39:GM39"/>
    <mergeCell ref="BP39:BZ39"/>
    <mergeCell ref="CC39:CM39"/>
    <mergeCell ref="CP39:CZ39"/>
    <mergeCell ref="P39:Z39"/>
    <mergeCell ref="P40:Z40"/>
    <mergeCell ref="AP39:AZ39"/>
    <mergeCell ref="HP40:HZ40"/>
    <mergeCell ref="EC40:EM40"/>
    <mergeCell ref="IP39:IV39"/>
    <mergeCell ref="EP39:EZ39"/>
    <mergeCell ref="FC39:FM39"/>
    <mergeCell ref="FP39:FZ39"/>
    <mergeCell ref="GP39:GZ39"/>
    <mergeCell ref="HP39:HZ39"/>
    <mergeCell ref="IC39:IM39"/>
    <mergeCell ref="IP40:IV40"/>
    <mergeCell ref="IC40:IM40"/>
    <mergeCell ref="HC39:HM39"/>
    <mergeCell ref="IC38:IM38"/>
    <mergeCell ref="AC39:AM39"/>
    <mergeCell ref="IP38:IV38"/>
    <mergeCell ref="CP38:CZ38"/>
    <mergeCell ref="BC38:BM38"/>
    <mergeCell ref="HP32:HZ32"/>
    <mergeCell ref="IC32:IM32"/>
    <mergeCell ref="IP32:IV32"/>
    <mergeCell ref="EP38:EZ38"/>
    <mergeCell ref="FC38:FM38"/>
    <mergeCell ref="AC38:AM38"/>
    <mergeCell ref="AP38:AZ38"/>
    <mergeCell ref="HP38:HZ38"/>
    <mergeCell ref="GC38:GM38"/>
    <mergeCell ref="GP38:GZ38"/>
    <mergeCell ref="HC38:HM38"/>
    <mergeCell ref="FP38:FZ38"/>
    <mergeCell ref="DP39:DZ39"/>
    <mergeCell ref="DP38:DZ38"/>
    <mergeCell ref="EC38:EM38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FC30:FM30"/>
    <mergeCell ref="FC31:FM31"/>
    <mergeCell ref="DC30:DM30"/>
    <mergeCell ref="DP30:DZ30"/>
    <mergeCell ref="CP31:CZ31"/>
    <mergeCell ref="CC32:CM32"/>
    <mergeCell ref="DC39:DM39"/>
    <mergeCell ref="DC38:DM38"/>
    <mergeCell ref="DC31:DM31"/>
    <mergeCell ref="DP31:DZ31"/>
    <mergeCell ref="EC31:EM31"/>
    <mergeCell ref="GC30:GM30"/>
    <mergeCell ref="GP32:GZ32"/>
    <mergeCell ref="FP30:FZ30"/>
    <mergeCell ref="FP31:FZ31"/>
    <mergeCell ref="GC31:GM31"/>
    <mergeCell ref="GP31:GZ31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EP31:EZ31"/>
    <mergeCell ref="FP32:FZ32"/>
    <mergeCell ref="GC32:GM32"/>
    <mergeCell ref="HC32:HM32"/>
    <mergeCell ref="HP31:HZ31"/>
    <mergeCell ref="HP30:HZ30"/>
    <mergeCell ref="HC31:HM31"/>
    <mergeCell ref="IP30:IV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C41:M41"/>
    <mergeCell ref="C33:M33"/>
    <mergeCell ref="C37:M37"/>
    <mergeCell ref="P32:Z32"/>
    <mergeCell ref="AC32:AM32"/>
    <mergeCell ref="C34:M34"/>
    <mergeCell ref="C32:M32"/>
    <mergeCell ref="C35:M35"/>
    <mergeCell ref="C36:M36"/>
    <mergeCell ref="C38:M38"/>
    <mergeCell ref="P38:Z38"/>
    <mergeCell ref="P31:Z31"/>
    <mergeCell ref="AC31:AM31"/>
    <mergeCell ref="AP31:AZ31"/>
    <mergeCell ref="AP32:AZ32"/>
    <mergeCell ref="P30:Z30"/>
    <mergeCell ref="AC30:AM30"/>
    <mergeCell ref="AP30:AZ30"/>
    <mergeCell ref="DP29:DZ29"/>
    <mergeCell ref="CC30:CM30"/>
    <mergeCell ref="BC30:BM30"/>
    <mergeCell ref="BP30:BZ30"/>
    <mergeCell ref="A1:I1"/>
    <mergeCell ref="C3:M3"/>
    <mergeCell ref="C4:M4"/>
    <mergeCell ref="F2:I2"/>
    <mergeCell ref="P29:Z29"/>
    <mergeCell ref="AC29:AM29"/>
    <mergeCell ref="C28:M28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C14:M14"/>
    <mergeCell ref="C15:M15"/>
    <mergeCell ref="C16:M16"/>
    <mergeCell ref="C17:M17"/>
    <mergeCell ref="C18:M18"/>
    <mergeCell ref="C19:M19"/>
    <mergeCell ref="C20:M20"/>
    <mergeCell ref="DC29:DM29"/>
    <mergeCell ref="BC29:BM29"/>
    <mergeCell ref="BP29:BZ29"/>
    <mergeCell ref="CC29:CM29"/>
    <mergeCell ref="AP29:AZ29"/>
    <mergeCell ref="C30:M30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31:M31"/>
    <mergeCell ref="BC31:BM31"/>
    <mergeCell ref="BC32:BM32"/>
    <mergeCell ref="BC39:BM39"/>
    <mergeCell ref="BP31:BZ31"/>
    <mergeCell ref="CC31:CM31"/>
    <mergeCell ref="DC32:DM32"/>
    <mergeCell ref="BP32:BZ32"/>
    <mergeCell ref="C52:M52"/>
    <mergeCell ref="C50:M50"/>
    <mergeCell ref="C47:M47"/>
    <mergeCell ref="C48:M48"/>
    <mergeCell ref="C49:M49"/>
    <mergeCell ref="C51:M51"/>
    <mergeCell ref="C56:M56"/>
    <mergeCell ref="C57:M57"/>
    <mergeCell ref="C59:M59"/>
    <mergeCell ref="C58:M58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60:M60"/>
    <mergeCell ref="C62:M62"/>
    <mergeCell ref="C61:M61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2018-10-26T14:31:21Z</cp:lastPrinted>
  <dcterms:created xsi:type="dcterms:W3CDTF">1997-12-04T19:04:30Z</dcterms:created>
  <dcterms:modified xsi:type="dcterms:W3CDTF">2018-11-13T19:33:17Z</dcterms:modified>
</cp:coreProperties>
</file>