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2050" windowHeight="89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591" i="1" l="1"/>
  <c r="C10" i="12"/>
  <c r="B10" i="12"/>
  <c r="C19" i="12"/>
  <c r="H521" i="1"/>
  <c r="G521" i="1"/>
  <c r="F521" i="1"/>
  <c r="H468" i="1" l="1"/>
  <c r="G472" i="1"/>
  <c r="G468" i="1"/>
  <c r="F49" i="1" l="1"/>
  <c r="F1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6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47" i="1"/>
  <c r="G661" i="1"/>
  <c r="H661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C121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G470" i="1"/>
  <c r="G476" i="1" s="1"/>
  <c r="H623" i="1" s="1"/>
  <c r="J623" i="1" s="1"/>
  <c r="H470" i="1"/>
  <c r="I470" i="1"/>
  <c r="J470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8" i="1"/>
  <c r="H629" i="1"/>
  <c r="H630" i="1"/>
  <c r="H631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D12" i="13"/>
  <c r="C12" i="13" s="1"/>
  <c r="D62" i="2"/>
  <c r="D63" i="2" s="1"/>
  <c r="D18" i="13"/>
  <c r="C18" i="13" s="1"/>
  <c r="D7" i="13"/>
  <c r="C7" i="13" s="1"/>
  <c r="D18" i="2"/>
  <c r="D17" i="13"/>
  <c r="C17" i="13" s="1"/>
  <c r="F78" i="2"/>
  <c r="F81" i="2" s="1"/>
  <c r="D50" i="2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D81" i="2"/>
  <c r="I169" i="1"/>
  <c r="G552" i="1"/>
  <c r="J644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40" i="1"/>
  <c r="J634" i="1"/>
  <c r="H571" i="1"/>
  <c r="L560" i="1"/>
  <c r="J545" i="1"/>
  <c r="H338" i="1"/>
  <c r="H352" i="1" s="1"/>
  <c r="G192" i="1"/>
  <c r="H192" i="1"/>
  <c r="E128" i="2"/>
  <c r="C35" i="10"/>
  <c r="L309" i="1"/>
  <c r="E16" i="13"/>
  <c r="C16" i="13" s="1"/>
  <c r="J655" i="1"/>
  <c r="J645" i="1"/>
  <c r="L570" i="1"/>
  <c r="I571" i="1"/>
  <c r="I545" i="1"/>
  <c r="J636" i="1"/>
  <c r="G36" i="2"/>
  <c r="L565" i="1"/>
  <c r="G545" i="1"/>
  <c r="K551" i="1"/>
  <c r="C22" i="13"/>
  <c r="C138" i="2"/>
  <c r="H33" i="13"/>
  <c r="A31" i="12" l="1"/>
  <c r="J257" i="1"/>
  <c r="J271" i="1" s="1"/>
  <c r="F257" i="1"/>
  <c r="F271" i="1" s="1"/>
  <c r="L229" i="1"/>
  <c r="G257" i="1"/>
  <c r="G271" i="1" s="1"/>
  <c r="C110" i="2"/>
  <c r="I257" i="1"/>
  <c r="I271" i="1" s="1"/>
  <c r="D6" i="13"/>
  <c r="C6" i="13" s="1"/>
  <c r="C17" i="10"/>
  <c r="A13" i="12"/>
  <c r="F112" i="1"/>
  <c r="J624" i="1"/>
  <c r="L290" i="1"/>
  <c r="L338" i="1" s="1"/>
  <c r="L352" i="1" s="1"/>
  <c r="G633" i="1" s="1"/>
  <c r="J633" i="1" s="1"/>
  <c r="F552" i="1"/>
  <c r="L524" i="1"/>
  <c r="L545" i="1" s="1"/>
  <c r="K552" i="1"/>
  <c r="G662" i="1"/>
  <c r="C56" i="2"/>
  <c r="C63" i="2" s="1"/>
  <c r="C70" i="2"/>
  <c r="C81" i="2" s="1"/>
  <c r="K598" i="1"/>
  <c r="G647" i="1" s="1"/>
  <c r="H52" i="1"/>
  <c r="H619" i="1" s="1"/>
  <c r="J619" i="1" s="1"/>
  <c r="J617" i="1"/>
  <c r="C78" i="2"/>
  <c r="I661" i="1"/>
  <c r="D145" i="2"/>
  <c r="D5" i="13"/>
  <c r="C5" i="13" s="1"/>
  <c r="H660" i="1"/>
  <c r="H664" i="1" s="1"/>
  <c r="H672" i="1" s="1"/>
  <c r="C6" i="10" s="1"/>
  <c r="C10" i="10"/>
  <c r="H257" i="1"/>
  <c r="H271" i="1" s="1"/>
  <c r="D15" i="13"/>
  <c r="C15" i="13" s="1"/>
  <c r="H647" i="1"/>
  <c r="C124" i="2"/>
  <c r="G649" i="1"/>
  <c r="J649" i="1" s="1"/>
  <c r="F662" i="1"/>
  <c r="D14" i="13"/>
  <c r="C14" i="13" s="1"/>
  <c r="C123" i="2"/>
  <c r="E8" i="13"/>
  <c r="C8" i="13" s="1"/>
  <c r="C120" i="2"/>
  <c r="L211" i="1"/>
  <c r="C118" i="2"/>
  <c r="C15" i="10"/>
  <c r="C109" i="2"/>
  <c r="C115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H648" i="1" l="1"/>
  <c r="J648" i="1" s="1"/>
  <c r="L257" i="1"/>
  <c r="L271" i="1" s="1"/>
  <c r="G632" i="1" s="1"/>
  <c r="F193" i="1"/>
  <c r="F468" i="1" s="1"/>
  <c r="J647" i="1"/>
  <c r="I662" i="1"/>
  <c r="C104" i="2"/>
  <c r="G672" i="1"/>
  <c r="C5" i="10" s="1"/>
  <c r="C128" i="2"/>
  <c r="C145" i="2" s="1"/>
  <c r="F660" i="1"/>
  <c r="F664" i="1" s="1"/>
  <c r="F672" i="1" s="1"/>
  <c r="C4" i="10" s="1"/>
  <c r="E33" i="13"/>
  <c r="D35" i="13" s="1"/>
  <c r="C28" i="10"/>
  <c r="D23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472" i="1" l="1"/>
  <c r="F474" i="1" s="1"/>
  <c r="G627" i="1"/>
  <c r="I660" i="1"/>
  <c r="I664" i="1" s="1"/>
  <c r="I672" i="1" s="1"/>
  <c r="C7" i="10" s="1"/>
  <c r="H632" i="1"/>
  <c r="J632" i="1" s="1"/>
  <c r="F470" i="1"/>
  <c r="H627" i="1"/>
  <c r="D25" i="10"/>
  <c r="F667" i="1"/>
  <c r="D15" i="10"/>
  <c r="D20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C41" i="10"/>
  <c r="D38" i="10" s="1"/>
  <c r="F476" i="1" l="1"/>
  <c r="H622" i="1" s="1"/>
  <c r="J622" i="1" s="1"/>
  <c r="J627" i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<sst xmlns="http://schemas.openxmlformats.org/spreadsheetml/2006/main" count="3958" uniqueCount="914">
  <si>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</si>
  <si>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</si>
  <si>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</si>
  <si>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</si>
  <si>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</si>
  <si>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</si>
  <si>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</si>
  <si>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</si>
  <si>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</si>
  <si>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</si>
  <si>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</si>
  <si>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</si>
  <si>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</si>
  <si>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</si>
  <si>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</si>
  <si>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</si>
  <si>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</si>
  <si>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</si>
  <si>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</si>
  <si>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</si>
  <si>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</si>
  <si>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</si>
  <si>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</si>
  <si>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</si>
  <si>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</si>
  <si>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</si>
  <si>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</si>
  <si>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</si>
  <si>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</si>
  <si>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</si>
  <si>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</si>
  <si>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</si>
  <si>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</si>
  <si>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</si>
  <si>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</si>
  <si>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</si>
  <si>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</si>
  <si>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</si>
  <si>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</si>
  <si>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</si>
  <si>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</si>
  <si>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</si>
  <si>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</si>
  <si>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</si>
  <si>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</si>
  <si>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</si>
  <si>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</si>
  <si>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</si>
  <si>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</si>
  <si>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</si>
  <si>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</si>
  <si>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</si>
  <si>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</si>
  <si>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</si>
  <si>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</si>
  <si>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</si>
  <si>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</si>
  <si>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</si>
  <si>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</si>
  <si>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</si>
  <si>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</si>
  <si>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</si>
  <si>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</si>
  <si>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</si>
  <si>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</si>
  <si>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</si>
  <si>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</si>
  <si>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</si>
  <si>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</si>
  <si>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</si>
  <si>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</si>
  <si>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</si>
  <si>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</si>
  <si>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</si>
  <si>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</si>
  <si>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</si>
  <si>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</si>
  <si>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</si>
  <si>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</si>
  <si>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</si>
  <si>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</si>
  <si>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</si>
  <si>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</si>
  <si>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</si>
  <si>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</si>
  <si>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</si>
  <si>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</si>
  <si>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</si>
  <si>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</si>
  <si>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</si>
  <si>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</si>
  <si>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</si>
  <si>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</si>
  <si>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</si>
  <si>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</si>
  <si>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</si>
  <si>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</si>
  <si>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</si>
  <si>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</si>
  <si>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</si>
  <si>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</si>
  <si>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</si>
  <si>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</si>
  <si>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</si>
  <si>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</si>
  <si>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</si>
  <si>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</si>
  <si>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</si>
  <si>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</si>
  <si>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</si>
  <si>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</si>
  <si>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</si>
  <si>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</si>
  <si>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</si>
  <si>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</si>
  <si>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</si>
  <si>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</si>
  <si>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</si>
  <si>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</si>
  <si>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</si>
  <si>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</si>
  <si>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</si>
  <si>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</si>
  <si>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</si>
  <si>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</si>
  <si>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</si>
  <si>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</si>
  <si>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</si>
  <si>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</si>
  <si>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</si>
  <si>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</si>
  <si>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</si>
  <si>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</si>
  <si>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</si>
  <si>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</si>
  <si>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</si>
  <si>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</si>
  <si>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</si>
  <si>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</si>
  <si>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</si>
  <si>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</si>
  <si>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</si>
  <si>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</si>
  <si>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</si>
  <si>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</si>
  <si>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</si>
  <si>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</si>
  <si>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</si>
  <si>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</si>
  <si>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</si>
  <si>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</si>
  <si>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</si>
  <si>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</si>
  <si>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</si>
  <si>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</si>
  <si>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</si>
  <si>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</si>
  <si>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</si>
  <si>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</si>
  <si>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</si>
  <si>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</si>
  <si>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</si>
  <si>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</si>
  <si>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</si>
  <si>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</si>
  <si>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</si>
  <si>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</si>
  <si>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</si>
  <si>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</si>
  <si>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</si>
  <si>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</si>
  <si>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</si>
  <si>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</si>
  <si>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</si>
  <si>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</si>
  <si>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</si>
  <si>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</si>
  <si>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</si>
  <si>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</si>
  <si>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</si>
  <si>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</si>
  <si>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</si>
  <si>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</si>
  <si>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</si>
  <si>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</si>
  <si>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</si>
  <si>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</si>
  <si>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</si>
  <si>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</si>
  <si>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</si>
  <si>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</si>
  <si>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</si>
  <si>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</si>
  <si>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</si>
  <si>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</si>
  <si>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</si>
  <si>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</si>
  <si>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</si>
  <si>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</si>
  <si>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</si>
  <si>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</si>
  <si>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</si>
  <si>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</si>
  <si>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</si>
  <si>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</si>
  <si>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</si>
  <si>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</si>
  <si>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</si>
  <si>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</si>
  <si>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</si>
  <si>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</si>
  <si>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</si>
  <si>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</si>
  <si>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</si>
  <si>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</si>
  <si>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</si>
  <si>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</si>
  <si>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</si>
  <si>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</si>
  <si>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</si>
  <si>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</si>
  <si>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</si>
  <si>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</si>
  <si>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</si>
  <si>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</si>
  <si>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</si>
  <si>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</si>
  <si>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</si>
  <si>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</si>
  <si>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</si>
  <si>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</si>
  <si>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</si>
  <si>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</si>
  <si>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</si>
  <si>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</si>
  <si>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</si>
  <si>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</si>
  <si>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</si>
  <si>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</si>
  <si>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</si>
  <si>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</si>
  <si>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</si>
  <si>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</si>
  <si>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</si>
  <si>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</si>
  <si>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</si>
  <si>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</si>
  <si>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</si>
  <si>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</si>
  <si>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</si>
  <si>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</si>
  <si>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</si>
  <si>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</si>
  <si>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</si>
  <si>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</si>
  <si>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</si>
  <si>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</si>
  <si>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</si>
  <si>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</si>
  <si>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</si>
  <si>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</si>
  <si>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</si>
  <si>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</si>
  <si>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</si>
  <si>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</si>
  <si>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</si>
  <si>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</si>
  <si>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</si>
  <si>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</si>
  <si>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</si>
  <si>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</si>
  <si>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</si>
  <si>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</si>
  <si>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</si>
  <si>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</si>
  <si>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</si>
  <si>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</si>
  <si>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</si>
  <si>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</si>
  <si>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</si>
  <si>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</si>
  <si>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</si>
  <si>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</si>
  <si>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</si>
  <si>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</si>
  <si>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</si>
  <si>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</si>
  <si>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</si>
  <si>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</si>
  <si>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</si>
  <si>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</si>
  <si>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</si>
  <si>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</si>
  <si>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</si>
  <si>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</si>
  <si>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</si>
  <si>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</si>
  <si>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</si>
  <si>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</si>
  <si>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</si>
  <si>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</si>
  <si>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</si>
  <si>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</si>
  <si>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</si>
  <si>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</si>
  <si>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</si>
  <si>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</si>
  <si>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</si>
  <si>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</si>
  <si>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</si>
  <si>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</si>
  <si>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</si>
  <si>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</si>
  <si>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</si>
  <si>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</si>
  <si>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</si>
  <si>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</si>
  <si>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</si>
  <si>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</si>
  <si>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</si>
  <si>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</si>
  <si>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</si>
  <si>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</si>
  <si>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</si>
  <si>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</si>
  <si>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</si>
  <si>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</si>
  <si>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</si>
  <si>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</si>
  <si>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</si>
  <si>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</si>
  <si>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</si>
  <si>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</si>
  <si>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</si>
  <si>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</si>
  <si>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</si>
  <si>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</si>
  <si>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</si>
  <si>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</si>
  <si>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</si>
  <si>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</si>
  <si>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</si>
  <si>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</si>
  <si>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</si>
  <si>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</si>
  <si>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</si>
  <si>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</si>
  <si>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</si>
  <si>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</si>
  <si>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</si>
  <si>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</si>
  <si>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</si>
  <si>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</si>
  <si>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</si>
  <si>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</si>
  <si>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</si>
  <si>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</si>
  <si>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</si>
  <si>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</si>
  <si>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</si>
  <si>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</si>
  <si>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</si>
  <si>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</si>
  <si>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</si>
  <si>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</si>
  <si>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</si>
  <si>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</si>
  <si>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</si>
  <si>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</si>
  <si>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</si>
  <si>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</si>
  <si>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</si>
  <si>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</si>
  <si>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</si>
  <si>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</si>
  <si>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</si>
  <si>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</si>
  <si>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</si>
  <si>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</si>
  <si>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</si>
  <si>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</si>
  <si>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</si>
  <si>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</si>
  <si>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</si>
  <si>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</si>
  <si>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</si>
  <si>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</si>
  <si>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</si>
  <si>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</si>
  <si>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</si>
  <si>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</si>
  <si>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</si>
  <si>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</si>
  <si>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</si>
  <si>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</si>
  <si>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</si>
  <si>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</si>
  <si>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</si>
  <si>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</si>
  <si>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</si>
  <si>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</si>
  <si>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</si>
  <si>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</si>
  <si>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</si>
  <si>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</si>
  <si>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</si>
  <si>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</si>
  <si>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</si>
  <si>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</si>
  <si>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</si>
  <si>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</si>
  <si>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</si>
  <si>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</si>
  <si>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</si>
  <si>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</si>
  <si>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</si>
  <si>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</si>
  <si>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</si>
  <si>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</si>
  <si>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</si>
  <si>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</si>
  <si>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</si>
  <si>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</si>
  <si>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</si>
  <si>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</si>
  <si>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</si>
  <si>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</si>
  <si>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</si>
  <si>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</si>
  <si>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</si>
  <si>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</si>
  <si>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</si>
  <si>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</si>
  <si>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</si>
  <si>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</si>
  <si>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</si>
  <si>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</si>
  <si>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</si>
  <si>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</si>
  <si>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</si>
  <si>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</si>
  <si>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</si>
  <si>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</si>
  <si>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</si>
  <si>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</si>
  <si>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</si>
  <si>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</si>
  <si>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</si>
  <si>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</si>
  <si>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</si>
  <si>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</si>
  <si>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</si>
  <si>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</si>
  <si>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</si>
  <si>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</si>
  <si>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</si>
  <si>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</si>
  <si>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</si>
  <si>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</si>
  <si>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</si>
  <si>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</si>
  <si>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</si>
  <si>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</si>
  <si>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</si>
  <si>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</si>
  <si>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</si>
  <si>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</si>
  <si>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</si>
  <si>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</si>
  <si>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</si>
  <si>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</si>
  <si>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</si>
  <si>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</si>
  <si>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</si>
  <si>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</si>
  <si>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</si>
  <si>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</si>
  <si>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</si>
  <si>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</si>
  <si>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</si>
  <si>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</si>
  <si>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</si>
  <si>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</si>
  <si>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</si>
  <si>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</si>
  <si>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</si>
  <si>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</si>
  <si>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</si>
  <si>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</si>
  <si>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</si>
  <si>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</si>
  <si>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</si>
  <si>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</si>
  <si>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</si>
  <si>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</si>
  <si>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</si>
  <si>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</si>
  <si>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</si>
  <si>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</si>
  <si>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</si>
  <si>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</si>
  <si>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</si>
  <si>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</si>
  <si>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</si>
  <si>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</si>
  <si>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</si>
  <si>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</si>
  <si>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</si>
  <si>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</si>
  <si>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</si>
  <si>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</si>
  <si>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</si>
  <si>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</si>
  <si>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</si>
  <si>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</si>
  <si>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</si>
  <si>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</si>
  <si>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</si>
  <si>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</si>
  <si>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</si>
  <si>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</si>
  <si>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</si>
  <si>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</si>
  <si>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</si>
  <si>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</si>
  <si>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</si>
  <si>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</si>
  <si>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</si>
  <si>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</si>
  <si>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</si>
  <si>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</si>
  <si>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</si>
  <si>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</si>
  <si>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</si>
  <si>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</si>
  <si>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</si>
  <si>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</si>
  <si>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</si>
  <si>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</si>
  <si>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</si>
  <si>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</si>
  <si>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</si>
  <si>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</si>
  <si>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</si>
  <si>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</si>
  <si>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</si>
  <si>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</si>
  <si>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</si>
  <si>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</si>
  <si>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</si>
  <si>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</si>
  <si>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</si>
  <si>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</si>
  <si>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</si>
  <si>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</si>
  <si>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</si>
  <si>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</si>
  <si>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</si>
  <si>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</si>
  <si>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</si>
  <si>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</si>
  <si>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</si>
  <si>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</si>
  <si>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</si>
  <si>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</si>
  <si>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</si>
  <si>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</si>
  <si>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</si>
  <si>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</si>
  <si>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</si>
  <si>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</si>
  <si>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</si>
  <si>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</si>
  <si>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</si>
  <si>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</si>
  <si>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</si>
  <si>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</si>
  <si>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</si>
  <si>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</si>
  <si>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</si>
  <si>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</si>
  <si>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</si>
  <si>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</si>
  <si>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</si>
  <si>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</si>
  <si>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</si>
  <si>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</si>
  <si>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</si>
  <si>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</si>
  <si>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</si>
  <si>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</si>
  <si>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</si>
  <si>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</si>
  <si>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</si>
  <si>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</si>
  <si>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</si>
  <si>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</si>
  <si>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</si>
  <si>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</si>
  <si>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</si>
  <si>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</si>
  <si>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</si>
  <si>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</si>
  <si>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</si>
  <si>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</si>
  <si>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</si>
  <si>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</si>
  <si>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</si>
  <si>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</si>
  <si>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</si>
  <si>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</si>
  <si>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</si>
  <si>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</si>
  <si>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</si>
  <si>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</si>
  <si>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</si>
  <si>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</si>
  <si>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</si>
  <si>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</si>
  <si>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</si>
  <si>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</si>
  <si>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</si>
  <si>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</si>
  <si>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</si>
  <si>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</si>
  <si>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</si>
  <si>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</si>
  <si>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</si>
  <si>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</si>
  <si>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</si>
  <si>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</si>
  <si>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</si>
  <si>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</si>
  <si>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</si>
  <si>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</si>
  <si>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</si>
  <si>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</si>
  <si>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</si>
  <si>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</si>
  <si>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</si>
  <si>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</si>
  <si>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</si>
  <si>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</si>
  <si>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</si>
  <si>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</si>
  <si>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</si>
  <si>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</si>
  <si>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</si>
  <si>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</si>
  <si>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</si>
  <si>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</si>
  <si>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</si>
  <si>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</si>
  <si>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</si>
  <si>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</si>
  <si>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</si>
  <si>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</si>
  <si>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</si>
  <si>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</si>
  <si>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</si>
  <si>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</si>
  <si>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</si>
  <si>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</si>
  <si>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</si>
  <si>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</si>
  <si>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</si>
  <si>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</si>
  <si>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</si>
  <si>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</si>
  <si>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</si>
  <si>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</si>
  <si>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</si>
  <si>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</si>
  <si>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</si>
  <si>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</si>
  <si>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</si>
  <si>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</si>
  <si>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</si>
  <si>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</si>
  <si>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</si>
  <si>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</si>
  <si>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</si>
  <si>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</si>
  <si>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</si>
  <si>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</si>
  <si>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</si>
  <si>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</si>
  <si>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</si>
  <si>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</si>
  <si>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</si>
  <si>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</si>
  <si>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</si>
  <si>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</si>
  <si>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</si>
  <si>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</si>
  <si>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</si>
  <si>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</si>
  <si>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</si>
  <si>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</si>
  <si>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</si>
  <si>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</si>
  <si>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</si>
  <si>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</si>
  <si>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</si>
  <si>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</si>
  <si>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</si>
  <si>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</si>
  <si>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</si>
  <si>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</si>
  <si>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</si>
  <si>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</si>
  <si>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</si>
  <si>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</si>
  <si>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</si>
  <si>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</si>
  <si>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</si>
  <si>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</si>
  <si>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</si>
  <si>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</si>
  <si>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</si>
  <si>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</si>
  <si>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</si>
  <si>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</si>
  <si>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</si>
  <si>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</si>
  <si>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</si>
  <si>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</si>
  <si>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</si>
  <si>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</si>
  <si>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</si>
  <si>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</si>
  <si>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</si>
  <si>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</si>
  <si>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</si>
  <si>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</si>
  <si>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</si>
  <si>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</si>
  <si>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</si>
  <si>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</si>
  <si>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</si>
  <si>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</si>
  <si>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</si>
  <si>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</si>
  <si>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</si>
  <si>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</si>
  <si>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</si>
  <si>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</si>
  <si>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</si>
  <si>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</si>
  <si>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</si>
  <si>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</si>
  <si>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</si>
  <si>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</si>
  <si>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</si>
  <si>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</si>
  <si>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</si>
  <si>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</si>
  <si>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</si>
  <si>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</si>
  <si>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</si>
  <si>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</si>
  <si>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</si>
  <si>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</si>
  <si>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</si>
  <si>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</si>
  <si>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</si>
  <si>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</si>
  <si>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</si>
  <si>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</si>
  <si>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</si>
  <si>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</si>
  <si>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</si>
  <si>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</si>
  <si>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</si>
  <si>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</si>
  <si>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</si>
  <si>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</si>
  <si>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</si>
  <si>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</si>
  <si>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</si>
  <si>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</si>
  <si>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</si>
  <si>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</si>
  <si>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</si>
  <si>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</si>
  <si>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</si>
  <si>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</si>
  <si>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</si>
  <si>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</si>
  <si>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</si>
  <si>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</si>
  <si>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</si>
  <si>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</si>
  <si>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</si>
  <si>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</si>
  <si>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</si>
  <si>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</si>
  <si>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</si>
  <si>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</si>
  <si>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</si>
  <si>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</si>
  <si>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</si>
  <si>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</si>
  <si>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</si>
  <si>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</si>
  <si>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</si>
  <si>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</si>
  <si>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</si>
  <si>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</si>
  <si>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</si>
  <si>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</si>
  <si>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</si>
  <si>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</si>
  <si>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</si>
  <si>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</si>
  <si>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</si>
  <si>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</si>
  <si>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</si>
  <si>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</si>
  <si>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</si>
  <si>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</si>
  <si>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</si>
  <si>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</si>
  <si>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</si>
  <si>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</si>
  <si>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</si>
  <si>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</si>
  <si>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</si>
  <si>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</si>
  <si>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</si>
  <si>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</si>
  <si>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</si>
  <si>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</si>
  <si>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</si>
  <si>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</si>
  <si>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</si>
  <si>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</si>
  <si>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</si>
  <si>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</si>
  <si>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</si>
  <si>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</si>
  <si>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</si>
  <si>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</si>
  <si>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</si>
  <si>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</si>
  <si>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</si>
  <si>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</si>
  <si>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</si>
  <si>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</si>
  <si>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</si>
  <si>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</si>
  <si>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</si>
  <si>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</si>
  <si>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</si>
  <si>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</si>
  <si>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</si>
  <si>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</si>
  <si>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</si>
  <si>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</si>
  <si>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</si>
  <si>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</si>
  <si>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</si>
  <si>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</si>
  <si>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</si>
  <si>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</si>
  <si>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</si>
  <si>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</si>
  <si>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</si>
  <si>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</si>
  <si>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</si>
  <si>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</si>
  <si>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</si>
  <si>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</si>
  <si>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</si>
  <si>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</si>
  <si>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</si>
  <si>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</si>
  <si>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</si>
  <si>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</si>
  <si>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</si>
  <si>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</si>
  <si>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</si>
  <si>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</si>
  <si>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</si>
  <si>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</si>
  <si>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</si>
  <si>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</si>
  <si>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</si>
  <si>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</si>
  <si>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</si>
  <si>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</si>
  <si>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</si>
  <si>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</si>
  <si>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</si>
  <si>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</si>
  <si>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</si>
  <si>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</si>
  <si>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</si>
  <si>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</si>
  <si>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</si>
  <si>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</si>
  <si>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</si>
  <si>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</si>
  <si>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</si>
  <si>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</si>
  <si>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</si>
  <si>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</si>
  <si>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</si>
  <si>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</si>
  <si>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</si>
  <si>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</si>
  <si>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</si>
  <si>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Croydon</t>
  </si>
  <si>
    <t xml:space="preserve">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</si>
</sst>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575" sqref="G57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117</v>
      </c>
      <c r="C2" s="21">
        <v>117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54516.69-3788.79</f>
        <v>50727.9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16316.59</v>
      </c>
      <c r="G13" s="18"/>
      <c r="H13" s="18">
        <v>3788.79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10521.45+18195.35</f>
        <v>28716.799999999999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95761.290000000008</v>
      </c>
      <c r="G19" s="41">
        <f>SUM(G9:G18)</f>
        <v>0</v>
      </c>
      <c r="H19" s="41">
        <f>SUM(H9:H18)</f>
        <v>3788.79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v>16316.59</v>
      </c>
      <c r="H23" s="18">
        <v>3788.79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812.7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812.7</v>
      </c>
      <c r="G32" s="41">
        <f>SUM(G22:G31)</f>
        <v>16316.59</v>
      </c>
      <c r="H32" s="41">
        <f>SUM(H22:H31)</f>
        <v>3788.79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-16316.59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3292.28</v>
      </c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f>232328.58+144.84+1275</f>
        <v>233748.41999999998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-142092.10999999999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94948.59</v>
      </c>
      <c r="G51" s="41">
        <f>SUM(G35:G50)</f>
        <v>-16316.59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95761.29</v>
      </c>
      <c r="G52" s="41">
        <f>G51+G32</f>
        <v>0</v>
      </c>
      <c r="H52" s="41">
        <f>H51+H32</f>
        <v>3788.79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576565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576565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2177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12793.49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12793.49</v>
      </c>
      <c r="G111" s="41">
        <f>SUM(G96:G110)</f>
        <v>2177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589358.49</v>
      </c>
      <c r="G112" s="41">
        <f>G60+G111</f>
        <v>2177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236543.13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194211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696.77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431450.9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49693.95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49693.95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481144.85000000003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15141.62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3067.9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3067.9</v>
      </c>
      <c r="G162" s="41">
        <f>SUM(G150:G161)</f>
        <v>0</v>
      </c>
      <c r="H162" s="41">
        <f>SUM(H150:H161)</f>
        <v>15141.62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3067.9</v>
      </c>
      <c r="G169" s="41">
        <f>G147+G162+SUM(G163:G168)</f>
        <v>0</v>
      </c>
      <c r="H169" s="41">
        <f>H147+H162+SUM(H163:H168)</f>
        <v>15141.62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1073571.24</v>
      </c>
      <c r="G193" s="47">
        <f>G112+G140+G169+G192</f>
        <v>2177</v>
      </c>
      <c r="H193" s="47">
        <f>H112+H140+H169+H192</f>
        <v>15141.62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108380.36</v>
      </c>
      <c r="G197" s="18">
        <v>30491.13</v>
      </c>
      <c r="H197" s="18">
        <v>85248.6</v>
      </c>
      <c r="I197" s="18">
        <v>6419.46</v>
      </c>
      <c r="J197" s="18">
        <v>1482.14</v>
      </c>
      <c r="K197" s="18"/>
      <c r="L197" s="19">
        <f>SUM(F197:K197)</f>
        <v>232021.69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24006.5</v>
      </c>
      <c r="G198" s="18">
        <v>1054.72</v>
      </c>
      <c r="H198" s="18">
        <v>17515.14</v>
      </c>
      <c r="I198" s="18">
        <v>350.35</v>
      </c>
      <c r="J198" s="18"/>
      <c r="K198" s="18"/>
      <c r="L198" s="19">
        <f>SUM(F198:K198)</f>
        <v>42926.71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>
        <v>2794.24</v>
      </c>
      <c r="I202" s="18"/>
      <c r="J202" s="18">
        <v>8.99</v>
      </c>
      <c r="K202" s="18"/>
      <c r="L202" s="19">
        <f t="shared" ref="L202:L208" si="0">SUM(F202:K202)</f>
        <v>2803.2299999999996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>
        <v>170.26999999999998</v>
      </c>
      <c r="I203" s="18">
        <v>840</v>
      </c>
      <c r="J203" s="18"/>
      <c r="K203" s="18"/>
      <c r="L203" s="19">
        <f t="shared" si="0"/>
        <v>1010.27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100466</v>
      </c>
      <c r="G204" s="18">
        <v>9535.77</v>
      </c>
      <c r="H204" s="18">
        <v>9021.1200000000008</v>
      </c>
      <c r="I204" s="18">
        <v>422.82</v>
      </c>
      <c r="J204" s="18"/>
      <c r="K204" s="18">
        <v>1572.72</v>
      </c>
      <c r="L204" s="19">
        <f t="shared" si="0"/>
        <v>121018.43000000001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7622</v>
      </c>
      <c r="G205" s="18">
        <v>6238.86</v>
      </c>
      <c r="H205" s="18">
        <v>592.27</v>
      </c>
      <c r="I205" s="18">
        <v>174.44</v>
      </c>
      <c r="J205" s="18"/>
      <c r="K205" s="18"/>
      <c r="L205" s="19">
        <f t="shared" si="0"/>
        <v>14627.570000000002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4249.25</v>
      </c>
      <c r="G207" s="18">
        <v>325.08</v>
      </c>
      <c r="H207" s="18">
        <v>44204.170000000006</v>
      </c>
      <c r="I207" s="18">
        <v>7702.9699999999993</v>
      </c>
      <c r="J207" s="18">
        <v>225.59</v>
      </c>
      <c r="K207" s="18"/>
      <c r="L207" s="19">
        <f t="shared" si="0"/>
        <v>56707.060000000005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37426.43</v>
      </c>
      <c r="I208" s="18"/>
      <c r="J208" s="18"/>
      <c r="K208" s="18"/>
      <c r="L208" s="19">
        <f t="shared" si="0"/>
        <v>37426.43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244724.11</v>
      </c>
      <c r="G211" s="41">
        <f t="shared" si="1"/>
        <v>47645.560000000005</v>
      </c>
      <c r="H211" s="41">
        <f t="shared" si="1"/>
        <v>196972.24000000002</v>
      </c>
      <c r="I211" s="41">
        <f t="shared" si="1"/>
        <v>15910.039999999999</v>
      </c>
      <c r="J211" s="41">
        <f t="shared" si="1"/>
        <v>1716.72</v>
      </c>
      <c r="K211" s="41">
        <f t="shared" si="1"/>
        <v>1572.72</v>
      </c>
      <c r="L211" s="41">
        <f t="shared" si="1"/>
        <v>508541.39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88729</v>
      </c>
      <c r="I215" s="18"/>
      <c r="J215" s="18"/>
      <c r="K215" s="18"/>
      <c r="L215" s="19">
        <f>SUM(F215:K215)</f>
        <v>88729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26514.36</v>
      </c>
      <c r="G216" s="18">
        <v>2000</v>
      </c>
      <c r="H216" s="18"/>
      <c r="I216" s="18"/>
      <c r="J216" s="18"/>
      <c r="K216" s="18"/>
      <c r="L216" s="19">
        <f>SUM(F216:K216)</f>
        <v>28514.36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 t="s">
        <v>913</v>
      </c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>
        <v>73755</v>
      </c>
      <c r="I218" s="18"/>
      <c r="J218" s="18"/>
      <c r="K218" s="18"/>
      <c r="L218" s="19">
        <f>SUM(F218:K218)</f>
        <v>73755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17974.310000000001</v>
      </c>
      <c r="G222" s="18"/>
      <c r="H222" s="18">
        <v>2105.1</v>
      </c>
      <c r="I222" s="18"/>
      <c r="J222" s="18"/>
      <c r="K222" s="18"/>
      <c r="L222" s="19">
        <f t="shared" si="2"/>
        <v>20079.41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3931</v>
      </c>
      <c r="I226" s="18"/>
      <c r="J226" s="18"/>
      <c r="K226" s="18"/>
      <c r="L226" s="19">
        <f t="shared" si="2"/>
        <v>3931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44488.67</v>
      </c>
      <c r="G229" s="41">
        <f>SUM(G215:G228)</f>
        <v>2000</v>
      </c>
      <c r="H229" s="41">
        <f>SUM(H215:H228)</f>
        <v>168520.1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215008.77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185863.02</v>
      </c>
      <c r="I233" s="18"/>
      <c r="J233" s="18"/>
      <c r="K233" s="18"/>
      <c r="L233" s="19">
        <f>SUM(F233:K233)</f>
        <v>185863.02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11053.16</v>
      </c>
      <c r="G234" s="18">
        <v>1702.1</v>
      </c>
      <c r="H234" s="18">
        <v>200000</v>
      </c>
      <c r="I234" s="18"/>
      <c r="J234" s="18"/>
      <c r="K234" s="18"/>
      <c r="L234" s="19">
        <f>SUM(F234:K234)</f>
        <v>212755.26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11194.4</v>
      </c>
      <c r="G240" s="18"/>
      <c r="H240" s="18">
        <v>3983.05</v>
      </c>
      <c r="I240" s="18"/>
      <c r="J240" s="18"/>
      <c r="K240" s="18"/>
      <c r="L240" s="19">
        <f t="shared" si="4"/>
        <v>15177.45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16848</v>
      </c>
      <c r="I244" s="18"/>
      <c r="J244" s="18"/>
      <c r="K244" s="18"/>
      <c r="L244" s="19">
        <f t="shared" si="4"/>
        <v>16848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22247.559999999998</v>
      </c>
      <c r="G247" s="41">
        <f t="shared" si="5"/>
        <v>1702.1</v>
      </c>
      <c r="H247" s="41">
        <f t="shared" si="5"/>
        <v>406694.07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430643.73000000004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311460.33999999997</v>
      </c>
      <c r="G257" s="41">
        <f t="shared" si="8"/>
        <v>51347.66</v>
      </c>
      <c r="H257" s="41">
        <f t="shared" si="8"/>
        <v>772186.41</v>
      </c>
      <c r="I257" s="41">
        <f t="shared" si="8"/>
        <v>15910.039999999999</v>
      </c>
      <c r="J257" s="41">
        <f t="shared" si="8"/>
        <v>1716.72</v>
      </c>
      <c r="K257" s="41">
        <f t="shared" si="8"/>
        <v>1572.72</v>
      </c>
      <c r="L257" s="41">
        <f t="shared" si="8"/>
        <v>1154193.8900000001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311460.33999999997</v>
      </c>
      <c r="G271" s="42">
        <f t="shared" si="11"/>
        <v>51347.66</v>
      </c>
      <c r="H271" s="42">
        <f t="shared" si="11"/>
        <v>772186.41</v>
      </c>
      <c r="I271" s="42">
        <f t="shared" si="11"/>
        <v>15910.039999999999</v>
      </c>
      <c r="J271" s="42">
        <f t="shared" si="11"/>
        <v>1716.72</v>
      </c>
      <c r="K271" s="42">
        <f t="shared" si="11"/>
        <v>1572.72</v>
      </c>
      <c r="L271" s="42">
        <f t="shared" si="11"/>
        <v>1154193.8900000001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3150</v>
      </c>
      <c r="G276" s="18">
        <v>837.16</v>
      </c>
      <c r="H276" s="18">
        <v>11154.46</v>
      </c>
      <c r="I276" s="18"/>
      <c r="J276" s="18"/>
      <c r="K276" s="18"/>
      <c r="L276" s="19">
        <f>SUM(F276:K276)</f>
        <v>15141.619999999999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3150</v>
      </c>
      <c r="G290" s="42">
        <f t="shared" si="13"/>
        <v>837.16</v>
      </c>
      <c r="H290" s="42">
        <f t="shared" si="13"/>
        <v>11154.46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15141.619999999999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3150</v>
      </c>
      <c r="G338" s="41">
        <f t="shared" si="20"/>
        <v>837.16</v>
      </c>
      <c r="H338" s="41">
        <f t="shared" si="20"/>
        <v>11154.46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15141.619999999999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3150</v>
      </c>
      <c r="G352" s="41">
        <f>G338</f>
        <v>837.16</v>
      </c>
      <c r="H352" s="41">
        <f>H338</f>
        <v>11154.46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15141.619999999999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10563.53</v>
      </c>
      <c r="I358" s="18"/>
      <c r="J358" s="18"/>
      <c r="K358" s="18"/>
      <c r="L358" s="13">
        <f>SUM(F358:K358)</f>
        <v>10563.53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10563.53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10563.53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175571.24</v>
      </c>
      <c r="G465" s="18">
        <v>-7930.06</v>
      </c>
      <c r="H465" s="18"/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1073571.24</v>
      </c>
      <c r="G468" s="18">
        <f>G193</f>
        <v>2177</v>
      </c>
      <c r="H468" s="18">
        <f>H193</f>
        <v>15141.62</v>
      </c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1073571.24</v>
      </c>
      <c r="G470" s="53">
        <f>SUM(G468:G469)</f>
        <v>2177</v>
      </c>
      <c r="H470" s="53">
        <f>SUM(H468:H469)</f>
        <v>15141.62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1154193.8900000001</v>
      </c>
      <c r="G472" s="18">
        <f>L362</f>
        <v>10563.53</v>
      </c>
      <c r="H472" s="18">
        <v>15141.62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1154193.8900000001</v>
      </c>
      <c r="G474" s="53">
        <f>SUM(G472:G473)</f>
        <v>10563.53</v>
      </c>
      <c r="H474" s="53">
        <f>SUM(H472:H473)</f>
        <v>15141.62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94948.589999999851</v>
      </c>
      <c r="G476" s="53">
        <f>(G465+G470)- G474</f>
        <v>-16316.59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23491.5+515</f>
        <v>24006.5</v>
      </c>
      <c r="G521" s="18">
        <f>3380.45+59.68+1781.35+2833.24</f>
        <v>8054.7199999999993</v>
      </c>
      <c r="H521" s="18">
        <f>3945.26+9125+1020+253.82+10047.29+402.86</f>
        <v>24794.230000000003</v>
      </c>
      <c r="I521" s="18">
        <v>350.35</v>
      </c>
      <c r="J521" s="18"/>
      <c r="K521" s="18"/>
      <c r="L521" s="88">
        <f>SUM(F521:K521)</f>
        <v>57205.8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24006.5</v>
      </c>
      <c r="G524" s="108">
        <f t="shared" ref="G524:L524" si="36">SUM(G521:G523)</f>
        <v>8054.7199999999993</v>
      </c>
      <c r="H524" s="108">
        <f t="shared" si="36"/>
        <v>24794.230000000003</v>
      </c>
      <c r="I524" s="108">
        <f t="shared" si="36"/>
        <v>350.35</v>
      </c>
      <c r="J524" s="108">
        <f t="shared" si="36"/>
        <v>0</v>
      </c>
      <c r="K524" s="108">
        <f t="shared" si="36"/>
        <v>0</v>
      </c>
      <c r="L524" s="89">
        <f t="shared" si="36"/>
        <v>57205.8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24006.5</v>
      </c>
      <c r="G545" s="89">
        <f t="shared" ref="G545:L545" si="41">G524+G529+G534+G539+G544</f>
        <v>8054.7199999999993</v>
      </c>
      <c r="H545" s="89">
        <f t="shared" si="41"/>
        <v>24794.230000000003</v>
      </c>
      <c r="I545" s="89">
        <f t="shared" si="41"/>
        <v>350.35</v>
      </c>
      <c r="J545" s="89">
        <f t="shared" si="41"/>
        <v>0</v>
      </c>
      <c r="K545" s="89">
        <f t="shared" si="41"/>
        <v>0</v>
      </c>
      <c r="L545" s="89">
        <f t="shared" si="41"/>
        <v>57205.8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57205.8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57205.8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57205.8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57205.8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73000</v>
      </c>
      <c r="G575" s="18">
        <v>88729</v>
      </c>
      <c r="H575" s="18">
        <v>185863.02</v>
      </c>
      <c r="I575" s="87">
        <f>SUM(F575:H575)</f>
        <v>347592.02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>
        <v>73755</v>
      </c>
      <c r="H578" s="18"/>
      <c r="I578" s="87">
        <f t="shared" si="47"/>
        <v>73755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17515.14</v>
      </c>
      <c r="G579" s="18"/>
      <c r="H579" s="18"/>
      <c r="I579" s="87">
        <f t="shared" si="47"/>
        <v>17515.14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125000</v>
      </c>
      <c r="I582" s="87">
        <f t="shared" si="47"/>
        <v>125000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75000</v>
      </c>
      <c r="I583" s="87">
        <f t="shared" si="47"/>
        <v>75000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39312-3931</f>
        <v>35381</v>
      </c>
      <c r="I591" s="18">
        <v>3931</v>
      </c>
      <c r="J591" s="18">
        <v>16848</v>
      </c>
      <c r="K591" s="104">
        <f t="shared" ref="K591:K597" si="48">SUM(H591:J591)</f>
        <v>56160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2045.43</v>
      </c>
      <c r="I595" s="18"/>
      <c r="J595" s="18"/>
      <c r="K595" s="104">
        <f t="shared" si="48"/>
        <v>2045.43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37426.43</v>
      </c>
      <c r="I598" s="108">
        <f>SUM(I591:I597)</f>
        <v>3931</v>
      </c>
      <c r="J598" s="108">
        <f>SUM(J591:J597)</f>
        <v>16848</v>
      </c>
      <c r="K598" s="108">
        <f>SUM(K591:K597)</f>
        <v>58205.43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1716.72</v>
      </c>
      <c r="I604" s="18"/>
      <c r="J604" s="18"/>
      <c r="K604" s="104">
        <f>SUM(H604:J604)</f>
        <v>1716.72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1716.72</v>
      </c>
      <c r="I605" s="108">
        <f>SUM(I602:I604)</f>
        <v>0</v>
      </c>
      <c r="J605" s="108">
        <f>SUM(J602:J604)</f>
        <v>0</v>
      </c>
      <c r="K605" s="108">
        <f>SUM(K602:K604)</f>
        <v>1716.72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95761.290000000008</v>
      </c>
      <c r="H617" s="109">
        <f>SUM(F52)</f>
        <v>95761.29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3788.79</v>
      </c>
      <c r="H619" s="109">
        <f>SUM(H52)</f>
        <v>3788.79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94948.59</v>
      </c>
      <c r="H622" s="109">
        <f>F476</f>
        <v>94948.589999999851</v>
      </c>
      <c r="I622" s="121" t="s">
        <v>101</v>
      </c>
      <c r="J622" s="109">
        <f t="shared" ref="J622:J655" si="50">G622-H622</f>
        <v>1.4551915228366852E-10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-16316.59</v>
      </c>
      <c r="H623" s="109">
        <f>G476</f>
        <v>-16316.59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1073571.24</v>
      </c>
      <c r="H627" s="104">
        <f>SUM(F468)</f>
        <v>1073571.24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2177</v>
      </c>
      <c r="H628" s="104">
        <f>SUM(G468)</f>
        <v>2177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15141.62</v>
      </c>
      <c r="H629" s="104">
        <f>SUM(H468)</f>
        <v>15141.62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1154193.8900000001</v>
      </c>
      <c r="H632" s="104">
        <f>SUM(F472)</f>
        <v>1154193.8900000001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15141.619999999999</v>
      </c>
      <c r="H633" s="104">
        <f>SUM(H472)</f>
        <v>15141.62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10563.53</v>
      </c>
      <c r="H635" s="104">
        <f>SUM(G472)</f>
        <v>10563.53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58205.43</v>
      </c>
      <c r="H647" s="104">
        <f>L208+L226+L244</f>
        <v>58205.43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1716.72</v>
      </c>
      <c r="H648" s="104">
        <f>(J257+J338)-(J255+J336)</f>
        <v>1716.72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37426.43</v>
      </c>
      <c r="H649" s="104">
        <f>H598</f>
        <v>37426.43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3931</v>
      </c>
      <c r="H650" s="104">
        <f>I598</f>
        <v>3931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16848</v>
      </c>
      <c r="H651" s="104">
        <f>J598</f>
        <v>16848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534246.54</v>
      </c>
      <c r="G660" s="19">
        <f>(L229+L309+L359)</f>
        <v>215008.77</v>
      </c>
      <c r="H660" s="19">
        <f>(L247+L328+L360)</f>
        <v>430643.73000000004</v>
      </c>
      <c r="I660" s="19">
        <f>SUM(F660:H660)</f>
        <v>1179899.04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2177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2177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37426.43</v>
      </c>
      <c r="G662" s="19">
        <f>(L226+L306)-(J226+J306)</f>
        <v>3931</v>
      </c>
      <c r="H662" s="19">
        <f>(L244+L325)-(J244+J325)</f>
        <v>16848</v>
      </c>
      <c r="I662" s="19">
        <f>SUM(F662:H662)</f>
        <v>58205.43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92231.86</v>
      </c>
      <c r="G663" s="199">
        <f>SUM(G575:G587)+SUM(I602:I604)+L612</f>
        <v>162484</v>
      </c>
      <c r="H663" s="199">
        <f>SUM(H575:H587)+SUM(J602:J604)+L613</f>
        <v>385863.02</v>
      </c>
      <c r="I663" s="19">
        <f>SUM(F663:H663)</f>
        <v>640578.88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402411.25</v>
      </c>
      <c r="G664" s="19">
        <f>G660-SUM(G661:G663)</f>
        <v>48593.76999999999</v>
      </c>
      <c r="H664" s="19">
        <f>H660-SUM(H661:H663)</f>
        <v>27932.710000000021</v>
      </c>
      <c r="I664" s="19">
        <f>I660-SUM(I661:I663)</f>
        <v>478937.73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25.84</v>
      </c>
      <c r="G665" s="248"/>
      <c r="H665" s="248"/>
      <c r="I665" s="19">
        <f>SUM(F665:H665)</f>
        <v>25.84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15573.19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18534.740000000002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-48593.77</v>
      </c>
      <c r="H669" s="18">
        <v>-27932.71</v>
      </c>
      <c r="I669" s="19">
        <f>SUM(F669:H669)</f>
        <v>-76526.48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15573.19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15573.19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Croydon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111530.36</v>
      </c>
      <c r="C9" s="229">
        <f>'DOE25'!G197+'DOE25'!G215+'DOE25'!G233+'DOE25'!G276+'DOE25'!G295+'DOE25'!G314</f>
        <v>31328.29</v>
      </c>
    </row>
    <row r="10" spans="1:3" x14ac:dyDescent="0.2">
      <c r="A10" t="s">
        <v>773</v>
      </c>
      <c r="B10" s="240">
        <f>141761+3150+0.52</f>
        <v>144911.51999999999</v>
      </c>
      <c r="C10" s="240">
        <f>45328.89-1460-405</f>
        <v>43463.89</v>
      </c>
    </row>
    <row r="11" spans="1:3" x14ac:dyDescent="0.2">
      <c r="A11" t="s">
        <v>774</v>
      </c>
      <c r="B11" s="240">
        <v>19081</v>
      </c>
      <c r="C11" s="240">
        <v>1460</v>
      </c>
    </row>
    <row r="12" spans="1:3" x14ac:dyDescent="0.2">
      <c r="A12" t="s">
        <v>775</v>
      </c>
      <c r="B12" s="240">
        <v>5291</v>
      </c>
      <c r="C12" s="240">
        <v>405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169283.52</v>
      </c>
      <c r="C13" s="231">
        <f>SUM(C10:C12)</f>
        <v>45328.89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61574.020000000004</v>
      </c>
      <c r="C18" s="229">
        <f>'DOE25'!G198+'DOE25'!G216+'DOE25'!G234+'DOE25'!G277+'DOE25'!G296+'DOE25'!G315</f>
        <v>4756.82</v>
      </c>
    </row>
    <row r="19" spans="1:3" x14ac:dyDescent="0.2">
      <c r="A19" t="s">
        <v>773</v>
      </c>
      <c r="B19" s="240">
        <v>23491</v>
      </c>
      <c r="C19" s="240">
        <f>8054.72-38.63</f>
        <v>8016.09</v>
      </c>
    </row>
    <row r="20" spans="1:3" x14ac:dyDescent="0.2">
      <c r="A20" t="s">
        <v>774</v>
      </c>
      <c r="B20" s="240">
        <v>515.5</v>
      </c>
      <c r="C20" s="240">
        <v>38.630000000000003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24006.5</v>
      </c>
      <c r="C22" s="231">
        <f>SUM(C19:C21)</f>
        <v>8054.72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 t="e">
        <f>'DOE25'!G199+'DOE25'!G217+'DOE25'!G235+'DOE25'!G278+'DOE25'!G297+'DOE25'!G316</f>
        <v>#VALUE!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e">
        <f>IF(B27=B31,IF(C27=C31,"Check Total OK","Check Total Error"),"Check Total Error")</f>
        <v>#VALUE!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Croydon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864565.04</v>
      </c>
      <c r="D5" s="20">
        <f>SUM('DOE25'!L197:L200)+SUM('DOE25'!L215:L218)+SUM('DOE25'!L233:L236)-F5-G5</f>
        <v>863082.9</v>
      </c>
      <c r="E5" s="243"/>
      <c r="F5" s="255">
        <f>SUM('DOE25'!J197:J200)+SUM('DOE25'!J215:J218)+SUM('DOE25'!J233:J236)</f>
        <v>1482.14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2803.2299999999996</v>
      </c>
      <c r="D6" s="20">
        <f>'DOE25'!L202+'DOE25'!L220+'DOE25'!L238-F6-G6</f>
        <v>2794.24</v>
      </c>
      <c r="E6" s="243"/>
      <c r="F6" s="255">
        <f>'DOE25'!J202+'DOE25'!J220+'DOE25'!J238</f>
        <v>8.99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1010.27</v>
      </c>
      <c r="D7" s="20">
        <f>'DOE25'!L203+'DOE25'!L221+'DOE25'!L239-F7-G7</f>
        <v>1010.27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156275.29</v>
      </c>
      <c r="D8" s="243"/>
      <c r="E8" s="20">
        <f>'DOE25'!L204+'DOE25'!L222+'DOE25'!L240-F8-G8-D9-D11</f>
        <v>154702.57</v>
      </c>
      <c r="F8" s="255">
        <f>'DOE25'!J204+'DOE25'!J222+'DOE25'!J240</f>
        <v>0</v>
      </c>
      <c r="G8" s="53">
        <f>'DOE25'!K204+'DOE25'!K222+'DOE25'!K240</f>
        <v>1572.72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14627.570000000002</v>
      </c>
      <c r="D12" s="20">
        <f>'DOE25'!L205+'DOE25'!L223+'DOE25'!L241-F12-G12</f>
        <v>14627.570000000002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56707.060000000005</v>
      </c>
      <c r="D14" s="20">
        <f>'DOE25'!L207+'DOE25'!L225+'DOE25'!L243-F14-G14</f>
        <v>56481.470000000008</v>
      </c>
      <c r="E14" s="243"/>
      <c r="F14" s="255">
        <f>'DOE25'!J207+'DOE25'!J225+'DOE25'!J243</f>
        <v>225.59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58205.43</v>
      </c>
      <c r="D15" s="20">
        <f>'DOE25'!L208+'DOE25'!L226+'DOE25'!L244-F15-G15</f>
        <v>58205.43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10563.53</v>
      </c>
      <c r="D29" s="20">
        <f>'DOE25'!L358+'DOE25'!L359+'DOE25'!L360-'DOE25'!I367-F29-G29</f>
        <v>10563.53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15141.619999999999</v>
      </c>
      <c r="D31" s="20">
        <f>'DOE25'!L290+'DOE25'!L309+'DOE25'!L328+'DOE25'!L333+'DOE25'!L334+'DOE25'!L335-F31-G31</f>
        <v>15141.619999999999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1021907.03</v>
      </c>
      <c r="E33" s="246">
        <f>SUM(E5:E31)</f>
        <v>154702.57</v>
      </c>
      <c r="F33" s="246">
        <f>SUM(F5:F31)</f>
        <v>1716.72</v>
      </c>
      <c r="G33" s="246">
        <f>SUM(G5:G31)</f>
        <v>1572.72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154702.57</v>
      </c>
      <c r="E35" s="249"/>
    </row>
    <row r="36" spans="2:8" ht="12" thickTop="1" x14ac:dyDescent="0.2">
      <c r="B36" t="s">
        <v>809</v>
      </c>
      <c r="D36" s="20">
        <f>D33</f>
        <v>1021907.03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6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50727.9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16316.59</v>
      </c>
      <c r="D12" s="95">
        <f>'DOE25'!G13</f>
        <v>0</v>
      </c>
      <c r="E12" s="95">
        <f>'DOE25'!H13</f>
        <v>3788.79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28716.799999999999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95761.290000000008</v>
      </c>
      <c r="D18" s="41">
        <f>SUM(D8:D17)</f>
        <v>0</v>
      </c>
      <c r="E18" s="41">
        <f>SUM(E8:E17)</f>
        <v>3788.79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16316.59</v>
      </c>
      <c r="E22" s="95">
        <f>'DOE25'!H23</f>
        <v>3788.79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812.7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812.7</v>
      </c>
      <c r="D31" s="41">
        <f>SUM(D21:D30)</f>
        <v>16316.59</v>
      </c>
      <c r="E31" s="41">
        <f>SUM(E21:E30)</f>
        <v>3788.79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-16316.59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3292.28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233748.41999999998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-142092.10999999999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94948.59</v>
      </c>
      <c r="D50" s="41">
        <f>SUM(D34:D49)</f>
        <v>-16316.59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95761.29</v>
      </c>
      <c r="D51" s="41">
        <f>D50+D31</f>
        <v>0</v>
      </c>
      <c r="E51" s="41">
        <f>E50+E31</f>
        <v>3788.79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576565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2177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12793.49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12793.49</v>
      </c>
      <c r="D62" s="130">
        <f>SUM(D57:D61)</f>
        <v>2177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589358.49</v>
      </c>
      <c r="D63" s="22">
        <f>D56+D62</f>
        <v>2177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236543.13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194211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696.77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431450.9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49693.95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49693.95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481144.85000000003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3067.9</v>
      </c>
      <c r="D88" s="95">
        <f>SUM('DOE25'!G153:G161)</f>
        <v>0</v>
      </c>
      <c r="E88" s="95">
        <f>SUM('DOE25'!H153:H161)</f>
        <v>15141.62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3067.9</v>
      </c>
      <c r="D91" s="131">
        <f>SUM(D85:D90)</f>
        <v>0</v>
      </c>
      <c r="E91" s="131">
        <f>SUM(E85:E90)</f>
        <v>15141.62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1073571.24</v>
      </c>
      <c r="D104" s="86">
        <f>D63+D81+D91+D103</f>
        <v>2177</v>
      </c>
      <c r="E104" s="86">
        <f>E63+E81+E91+E103</f>
        <v>15141.62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506613.70999999996</v>
      </c>
      <c r="D109" s="24" t="s">
        <v>286</v>
      </c>
      <c r="E109" s="95">
        <f>('DOE25'!L276)+('DOE25'!L295)+('DOE25'!L314)</f>
        <v>15141.619999999999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284196.33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73755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864565.04</v>
      </c>
      <c r="D115" s="86">
        <f>SUM(D109:D114)</f>
        <v>0</v>
      </c>
      <c r="E115" s="86">
        <f>SUM(E109:E114)</f>
        <v>15141.619999999999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2803.2299999999996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1010.27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156275.29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14627.570000000002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56707.060000000005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58205.43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10563.53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289628.85000000003</v>
      </c>
      <c r="D128" s="86">
        <f>SUM(D118:D127)</f>
        <v>10563.53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1154193.8900000001</v>
      </c>
      <c r="D145" s="86">
        <f>(D115+D128+D144)</f>
        <v>10563.53</v>
      </c>
      <c r="E145" s="86">
        <f>(E115+E128+E144)</f>
        <v>15141.619999999999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Croydon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15573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15573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521755</v>
      </c>
      <c r="D10" s="182">
        <f>ROUND((C10/$C$28)*100,1)</f>
        <v>44.3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284196</v>
      </c>
      <c r="D11" s="182">
        <f>ROUND((C11/$C$28)*100,1)</f>
        <v>24.1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73755</v>
      </c>
      <c r="D13" s="182">
        <f>ROUND((C13/$C$28)*100,1)</f>
        <v>6.3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2803</v>
      </c>
      <c r="D15" s="182">
        <f t="shared" ref="D15:D27" si="0">ROUND((C15/$C$28)*100,1)</f>
        <v>0.2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1010</v>
      </c>
      <c r="D16" s="182">
        <f t="shared" si="0"/>
        <v>0.1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156275</v>
      </c>
      <c r="D17" s="182">
        <f t="shared" si="0"/>
        <v>13.3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14628</v>
      </c>
      <c r="D18" s="182">
        <f t="shared" si="0"/>
        <v>1.2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56707</v>
      </c>
      <c r="D20" s="182">
        <f t="shared" si="0"/>
        <v>4.8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58205</v>
      </c>
      <c r="D21" s="182">
        <f t="shared" si="0"/>
        <v>4.9000000000000004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8387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1177721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1177721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576565</v>
      </c>
      <c r="D35" s="182">
        <f t="shared" ref="D35:D40" si="1">ROUND((C35/$C$41)*100,1)</f>
        <v>53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12793.489999999991</v>
      </c>
      <c r="D36" s="182">
        <f t="shared" si="1"/>
        <v>1.2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430754</v>
      </c>
      <c r="D37" s="182">
        <f t="shared" si="1"/>
        <v>39.6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50391</v>
      </c>
      <c r="D38" s="182">
        <f t="shared" si="1"/>
        <v>4.5999999999999996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18210</v>
      </c>
      <c r="D39" s="182">
        <f t="shared" si="1"/>
        <v>1.7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1088713.49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Croydon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2018-12-18T13:05:40Z</cp:lastPrinted>
  <dcterms:created xsi:type="dcterms:W3CDTF">1997-12-04T19:04:30Z</dcterms:created>
  <dcterms:modified xsi:type="dcterms:W3CDTF">2018-12-18T13:11:14Z</dcterms:modified>
</cp:coreProperties>
</file>