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6165" windowWidth="25230" windowHeight="6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8" i="1" l="1"/>
  <c r="H233" i="1" l="1"/>
  <c r="I197" i="1" l="1"/>
  <c r="F50" i="1"/>
  <c r="C39" i="12" l="1"/>
  <c r="B39" i="12"/>
  <c r="B19" i="12"/>
  <c r="C19" i="12"/>
  <c r="C10" i="12"/>
  <c r="B10" i="12"/>
  <c r="H528" i="1"/>
  <c r="H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H495" i="1"/>
  <c r="G495" i="1"/>
  <c r="F498" i="1"/>
  <c r="F495" i="1"/>
  <c r="H472" i="1" l="1"/>
  <c r="H468" i="1"/>
  <c r="H465" i="1"/>
  <c r="H22" i="1"/>
  <c r="I604" i="1" l="1"/>
  <c r="H604" i="1"/>
  <c r="I276" i="1"/>
  <c r="I333" i="1"/>
  <c r="G97" i="1" l="1"/>
  <c r="J276" i="1"/>
  <c r="K276" i="1"/>
  <c r="H281" i="1" l="1"/>
  <c r="H282" i="1"/>
  <c r="H300" i="1"/>
  <c r="H301" i="1"/>
  <c r="G295" i="1"/>
  <c r="G276" i="1"/>
  <c r="G296" i="1"/>
  <c r="G277" i="1"/>
  <c r="F277" i="1"/>
  <c r="F295" i="1"/>
  <c r="F276" i="1"/>
  <c r="K295" i="1"/>
  <c r="K333" i="1"/>
  <c r="H333" i="1"/>
  <c r="H157" i="1"/>
  <c r="H154" i="1"/>
  <c r="G472" i="1" l="1"/>
  <c r="G468" i="1"/>
  <c r="G367" i="1"/>
  <c r="F367" i="1"/>
  <c r="I359" i="1"/>
  <c r="I358" i="1"/>
  <c r="H592" i="1" l="1"/>
  <c r="I592" i="1"/>
  <c r="I591" i="1"/>
  <c r="H591" i="1"/>
  <c r="J592" i="1" l="1"/>
  <c r="I594" i="1"/>
  <c r="F14" i="1"/>
  <c r="G158" i="1" l="1"/>
  <c r="I207" i="1" l="1"/>
  <c r="G202" i="1"/>
  <c r="G197" i="1"/>
  <c r="G223" i="1"/>
  <c r="I220" i="1"/>
  <c r="I202" i="1"/>
  <c r="G198" i="1"/>
  <c r="G216" i="1"/>
  <c r="K261" i="1"/>
  <c r="K260" i="1"/>
  <c r="I209" i="1"/>
  <c r="I227" i="1"/>
  <c r="H226" i="1"/>
  <c r="H208" i="1"/>
  <c r="I225" i="1"/>
  <c r="H225" i="1"/>
  <c r="H207" i="1"/>
  <c r="G207" i="1"/>
  <c r="G225" i="1"/>
  <c r="F225" i="1"/>
  <c r="F207" i="1"/>
  <c r="H206" i="1"/>
  <c r="H224" i="1"/>
  <c r="J223" i="1"/>
  <c r="J205" i="1"/>
  <c r="G205" i="1"/>
  <c r="H222" i="1"/>
  <c r="H204" i="1"/>
  <c r="J221" i="1"/>
  <c r="J203" i="1"/>
  <c r="I203" i="1"/>
  <c r="I221" i="1"/>
  <c r="H221" i="1"/>
  <c r="H203" i="1"/>
  <c r="G203" i="1"/>
  <c r="G221" i="1"/>
  <c r="F221" i="1"/>
  <c r="F203" i="1"/>
  <c r="H202" i="1"/>
  <c r="H220" i="1"/>
  <c r="G220" i="1"/>
  <c r="F220" i="1"/>
  <c r="F202" i="1"/>
  <c r="G200" i="1"/>
  <c r="G218" i="1"/>
  <c r="F218" i="1"/>
  <c r="F200" i="1"/>
  <c r="J216" i="1"/>
  <c r="J198" i="1"/>
  <c r="I216" i="1"/>
  <c r="I198" i="1"/>
  <c r="H216" i="1"/>
  <c r="H198" i="1"/>
  <c r="F216" i="1"/>
  <c r="F198" i="1"/>
  <c r="H215" i="1"/>
  <c r="H197" i="1"/>
  <c r="G215" i="1"/>
  <c r="F215" i="1"/>
  <c r="F197" i="1"/>
  <c r="F57" i="1" l="1"/>
  <c r="H244" i="1" l="1"/>
  <c r="F223" i="1"/>
  <c r="F205" i="1"/>
  <c r="H251" i="1"/>
  <c r="H223" i="1"/>
  <c r="H205" i="1"/>
  <c r="H238" i="1"/>
  <c r="J215" i="1"/>
  <c r="J197" i="1"/>
  <c r="H218" i="1"/>
  <c r="I215" i="1"/>
  <c r="I223" i="1"/>
  <c r="I205" i="1"/>
  <c r="F251" i="1" l="1"/>
  <c r="G251" i="1"/>
  <c r="F66" i="1" l="1"/>
  <c r="F63" i="1"/>
  <c r="F117" i="1"/>
  <c r="F30" i="1"/>
  <c r="F9" i="1"/>
  <c r="H359" i="1" l="1"/>
  <c r="G359" i="1"/>
  <c r="G358" i="1"/>
  <c r="H358" i="1"/>
  <c r="J359" i="1"/>
  <c r="J358" i="1"/>
  <c r="G368" i="1"/>
  <c r="F368" i="1"/>
  <c r="G16" i="1"/>
  <c r="G4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C29" i="10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G642" i="1" s="1"/>
  <c r="F452" i="1"/>
  <c r="G452" i="1"/>
  <c r="H452" i="1"/>
  <c r="I452" i="1"/>
  <c r="F460" i="1"/>
  <c r="F461" i="1" s="1"/>
  <c r="H639" i="1" s="1"/>
  <c r="G460" i="1"/>
  <c r="H460" i="1"/>
  <c r="I460" i="1"/>
  <c r="I461" i="1" s="1"/>
  <c r="H642" i="1" s="1"/>
  <c r="G461" i="1"/>
  <c r="H461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J641" i="1" s="1"/>
  <c r="H641" i="1"/>
  <c r="G643" i="1"/>
  <c r="J643" i="1" s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F192" i="1"/>
  <c r="L328" i="1"/>
  <c r="A31" i="12"/>
  <c r="D18" i="2"/>
  <c r="F78" i="2"/>
  <c r="D50" i="2"/>
  <c r="G156" i="2"/>
  <c r="G62" i="2"/>
  <c r="D19" i="13"/>
  <c r="C19" i="13" s="1"/>
  <c r="E78" i="2"/>
  <c r="E81" i="2" s="1"/>
  <c r="J571" i="1"/>
  <c r="I169" i="1"/>
  <c r="J476" i="1"/>
  <c r="H626" i="1" s="1"/>
  <c r="G476" i="1"/>
  <c r="H623" i="1" s="1"/>
  <c r="J140" i="1"/>
  <c r="G22" i="2"/>
  <c r="H552" i="1"/>
  <c r="H140" i="1"/>
  <c r="L401" i="1"/>
  <c r="C139" i="2" s="1"/>
  <c r="J640" i="1"/>
  <c r="F338" i="1"/>
  <c r="F352" i="1" s="1"/>
  <c r="H192" i="1"/>
  <c r="E16" i="13"/>
  <c r="J655" i="1"/>
  <c r="I571" i="1"/>
  <c r="G36" i="2"/>
  <c r="L565" i="1"/>
  <c r="K551" i="1"/>
  <c r="L544" i="1" l="1"/>
  <c r="L247" i="1"/>
  <c r="F571" i="1"/>
  <c r="I552" i="1"/>
  <c r="G164" i="2"/>
  <c r="J622" i="1"/>
  <c r="K550" i="1"/>
  <c r="K545" i="1"/>
  <c r="I545" i="1"/>
  <c r="H545" i="1"/>
  <c r="L524" i="1"/>
  <c r="K549" i="1"/>
  <c r="K500" i="1"/>
  <c r="G161" i="2"/>
  <c r="C26" i="10"/>
  <c r="C16" i="10"/>
  <c r="L309" i="1"/>
  <c r="H338" i="1"/>
  <c r="H352" i="1" s="1"/>
  <c r="G338" i="1"/>
  <c r="G352" i="1" s="1"/>
  <c r="D62" i="2"/>
  <c r="D63" i="2" s="1"/>
  <c r="J651" i="1"/>
  <c r="C132" i="2"/>
  <c r="L270" i="1"/>
  <c r="K257" i="1"/>
  <c r="K271" i="1" s="1"/>
  <c r="H25" i="13"/>
  <c r="D14" i="13"/>
  <c r="C14" i="13" s="1"/>
  <c r="J257" i="1"/>
  <c r="J271" i="1" s="1"/>
  <c r="I257" i="1"/>
  <c r="I271" i="1" s="1"/>
  <c r="C121" i="2"/>
  <c r="C122" i="2"/>
  <c r="H257" i="1"/>
  <c r="H271" i="1" s="1"/>
  <c r="G257" i="1"/>
  <c r="G271" i="1" s="1"/>
  <c r="C10" i="10"/>
  <c r="D5" i="13"/>
  <c r="C5" i="13" s="1"/>
  <c r="C110" i="2"/>
  <c r="L256" i="1"/>
  <c r="L211" i="1"/>
  <c r="C20" i="10"/>
  <c r="C123" i="2"/>
  <c r="C18" i="10"/>
  <c r="L229" i="1"/>
  <c r="G660" i="1" s="1"/>
  <c r="F257" i="1"/>
  <c r="F271" i="1" s="1"/>
  <c r="F112" i="1"/>
  <c r="C70" i="2"/>
  <c r="C81" i="2" s="1"/>
  <c r="C78" i="2"/>
  <c r="J617" i="1"/>
  <c r="C18" i="2"/>
  <c r="H476" i="1"/>
  <c r="H624" i="1" s="1"/>
  <c r="J644" i="1"/>
  <c r="J645" i="1"/>
  <c r="J639" i="1"/>
  <c r="J624" i="1"/>
  <c r="H52" i="1"/>
  <c r="H619" i="1" s="1"/>
  <c r="J619" i="1" s="1"/>
  <c r="E31" i="2"/>
  <c r="J634" i="1"/>
  <c r="H661" i="1"/>
  <c r="G661" i="1"/>
  <c r="J623" i="1"/>
  <c r="D31" i="2"/>
  <c r="E128" i="2"/>
  <c r="J625" i="1"/>
  <c r="G552" i="1"/>
  <c r="H112" i="1"/>
  <c r="D29" i="13"/>
  <c r="C29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E115" i="2" s="1"/>
  <c r="C62" i="2"/>
  <c r="F661" i="1"/>
  <c r="C19" i="10"/>
  <c r="C15" i="10"/>
  <c r="G112" i="1"/>
  <c r="H660" i="1"/>
  <c r="H664" i="1" s="1"/>
  <c r="H667" i="1" s="1"/>
  <c r="C16" i="13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0" i="2"/>
  <c r="C111" i="2"/>
  <c r="C56" i="2"/>
  <c r="F662" i="1"/>
  <c r="I662" i="1" s="1"/>
  <c r="F22" i="13"/>
  <c r="C22" i="13" s="1"/>
  <c r="F81" i="2"/>
  <c r="L351" i="1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J642" i="1"/>
  <c r="G571" i="1"/>
  <c r="I434" i="1"/>
  <c r="G434" i="1"/>
  <c r="I663" i="1"/>
  <c r="C27" i="10"/>
  <c r="G635" i="1"/>
  <c r="J635" i="1" s="1"/>
  <c r="F193" i="1" l="1"/>
  <c r="G627" i="1" s="1"/>
  <c r="J627" i="1" s="1"/>
  <c r="K552" i="1"/>
  <c r="L545" i="1"/>
  <c r="E145" i="2"/>
  <c r="L338" i="1"/>
  <c r="L352" i="1" s="1"/>
  <c r="G633" i="1" s="1"/>
  <c r="J633" i="1" s="1"/>
  <c r="G664" i="1"/>
  <c r="G672" i="1" s="1"/>
  <c r="C5" i="10" s="1"/>
  <c r="C128" i="2"/>
  <c r="C25" i="13"/>
  <c r="H33" i="13"/>
  <c r="C115" i="2"/>
  <c r="L257" i="1"/>
  <c r="L271" i="1" s="1"/>
  <c r="G632" i="1" s="1"/>
  <c r="J632" i="1" s="1"/>
  <c r="F660" i="1"/>
  <c r="I660" i="1" s="1"/>
  <c r="G104" i="2"/>
  <c r="E51" i="2"/>
  <c r="I661" i="1"/>
  <c r="H672" i="1"/>
  <c r="C6" i="10" s="1"/>
  <c r="E33" i="13"/>
  <c r="D35" i="13" s="1"/>
  <c r="C28" i="10"/>
  <c r="D19" i="10" s="1"/>
  <c r="D31" i="13"/>
  <c r="C31" i="13" s="1"/>
  <c r="H648" i="1"/>
  <c r="J648" i="1" s="1"/>
  <c r="C63" i="2"/>
  <c r="C104" i="2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I664" i="1"/>
  <c r="I672" i="1" s="1"/>
  <c r="C7" i="10" s="1"/>
  <c r="C145" i="2"/>
  <c r="F664" i="1"/>
  <c r="F672" i="1" s="1"/>
  <c r="C4" i="10" s="1"/>
  <c r="D21" i="10"/>
  <c r="D11" i="10"/>
  <c r="D22" i="10"/>
  <c r="D13" i="10"/>
  <c r="D27" i="10"/>
  <c r="D18" i="10"/>
  <c r="D17" i="10"/>
  <c r="D12" i="10"/>
  <c r="D24" i="10"/>
  <c r="C30" i="10"/>
  <c r="D23" i="10"/>
  <c r="D10" i="10"/>
  <c r="D26" i="10"/>
  <c r="D16" i="10"/>
  <c r="D20" i="10"/>
  <c r="D15" i="10"/>
  <c r="D25" i="10"/>
  <c r="D33" i="13"/>
  <c r="D36" i="13" s="1"/>
  <c r="H656" i="1"/>
  <c r="C41" i="10"/>
  <c r="D38" i="10" s="1"/>
  <c r="I667" i="1" l="1"/>
  <c r="F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<sst xmlns="http://schemas.openxmlformats.org/spreadsheetml/2006/main" count="3963" uniqueCount="919">
  <si>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</si>
  <si>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</si>
  <si>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</si>
  <si>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</si>
  <si>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</si>
  <si>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</si>
  <si>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</si>
  <si>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</si>
  <si>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</si>
  <si>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</si>
  <si>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</si>
  <si>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</si>
  <si>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</si>
  <si>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</si>
  <si>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</si>
  <si>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</si>
  <si>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</si>
  <si>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</si>
  <si>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</si>
  <si>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</si>
  <si>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</si>
  <si>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</si>
  <si>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</si>
  <si>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</si>
  <si>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</si>
  <si>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</si>
  <si>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</si>
  <si>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</si>
  <si>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</si>
  <si>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</si>
  <si>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</si>
  <si>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</si>
  <si>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</si>
  <si>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</si>
  <si>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</si>
  <si>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</si>
  <si>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</si>
  <si>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</si>
  <si>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</si>
  <si>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</si>
  <si>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</si>
  <si>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</si>
  <si>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</si>
  <si>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</si>
  <si>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</si>
  <si>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</si>
  <si>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</si>
  <si>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</si>
  <si>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</si>
  <si>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</si>
  <si>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</si>
  <si>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</si>
  <si>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</si>
  <si>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</si>
  <si>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</si>
  <si>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</si>
  <si>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</si>
  <si>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</si>
  <si>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</si>
  <si>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</si>
  <si>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</si>
  <si>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</si>
  <si>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</si>
  <si>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</si>
  <si>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</si>
  <si>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</si>
  <si>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</si>
  <si>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</si>
  <si>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</si>
  <si>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</si>
  <si>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</si>
  <si>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</si>
  <si>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</si>
  <si>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</si>
  <si>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</si>
  <si>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</si>
  <si>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</si>
  <si>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</si>
  <si>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</si>
  <si>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</si>
  <si>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</si>
  <si>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</si>
  <si>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</si>
  <si>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</si>
  <si>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</si>
  <si>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</si>
  <si>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</si>
  <si>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</si>
  <si>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</si>
  <si>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</si>
  <si>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</si>
  <si>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</si>
  <si>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</si>
  <si>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</si>
  <si>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</si>
  <si>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</si>
  <si>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</si>
  <si>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</si>
  <si>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</si>
  <si>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</si>
  <si>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</si>
  <si>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</si>
  <si>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</si>
  <si>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</si>
  <si>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</si>
  <si>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</si>
  <si>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</si>
  <si>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</si>
  <si>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</si>
  <si>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</si>
  <si>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</si>
  <si>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</si>
  <si>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</si>
  <si>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</si>
  <si>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</si>
  <si>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</si>
  <si>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</si>
  <si>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</si>
  <si>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</si>
  <si>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</si>
  <si>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</si>
  <si>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</si>
  <si>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</si>
  <si>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</si>
  <si>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</si>
  <si>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</si>
  <si>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</si>
  <si>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</si>
  <si>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</si>
  <si>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</si>
  <si>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</si>
  <si>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</si>
  <si>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</si>
  <si>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</si>
  <si>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</si>
  <si>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</si>
  <si>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</si>
  <si>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</si>
  <si>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</si>
  <si>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</si>
  <si>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</si>
  <si>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</si>
  <si>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</si>
  <si>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</si>
  <si>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</si>
  <si>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</si>
  <si>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</si>
  <si>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</si>
  <si>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</si>
  <si>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</si>
  <si>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</si>
  <si>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</si>
  <si>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</si>
  <si>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</si>
  <si>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</si>
  <si>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</si>
  <si>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</si>
  <si>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</si>
  <si>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</si>
  <si>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</si>
  <si>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</si>
  <si>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</si>
  <si>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</si>
  <si>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</si>
  <si>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</si>
  <si>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</si>
  <si>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</si>
  <si>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</si>
  <si>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</si>
  <si>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</si>
  <si>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</si>
  <si>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</si>
  <si>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</si>
  <si>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</si>
  <si>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</si>
  <si>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</si>
  <si>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</si>
  <si>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</si>
  <si>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</si>
  <si>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</si>
  <si>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</si>
  <si>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</si>
  <si>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</si>
  <si>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</si>
  <si>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</si>
  <si>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</si>
  <si>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</si>
  <si>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</si>
  <si>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</si>
  <si>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</si>
  <si>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</si>
  <si>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</si>
  <si>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</si>
  <si>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</si>
  <si>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</si>
  <si>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</si>
  <si>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</si>
  <si>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</si>
  <si>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</si>
  <si>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</si>
  <si>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</si>
  <si>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</si>
  <si>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</si>
  <si>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</si>
  <si>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</si>
  <si>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</si>
  <si>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</si>
  <si>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</si>
  <si>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</si>
  <si>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</si>
  <si>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</si>
  <si>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</si>
  <si>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</si>
  <si>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</si>
  <si>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</si>
  <si>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</si>
  <si>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</si>
  <si>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</si>
  <si>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</si>
  <si>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</si>
  <si>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</si>
  <si>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</si>
  <si>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</si>
  <si>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</si>
  <si>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</si>
  <si>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</si>
  <si>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</si>
  <si>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</si>
  <si>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</si>
  <si>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</si>
  <si>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</si>
  <si>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</si>
  <si>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</si>
  <si>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</si>
  <si>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</si>
  <si>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</si>
  <si>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</si>
  <si>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</si>
  <si>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</si>
  <si>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</si>
  <si>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</si>
  <si>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</si>
  <si>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</si>
  <si>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</si>
  <si>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</si>
  <si>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</si>
  <si>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</si>
  <si>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</si>
  <si>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</si>
  <si>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</si>
  <si>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</si>
  <si>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</si>
  <si>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</si>
  <si>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</si>
  <si>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</si>
  <si>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</si>
  <si>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</si>
  <si>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</si>
  <si>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</si>
  <si>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</si>
  <si>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</si>
  <si>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</si>
  <si>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</si>
  <si>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</si>
  <si>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</si>
  <si>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</si>
  <si>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</si>
  <si>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</si>
  <si>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</si>
  <si>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</si>
  <si>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</si>
  <si>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</si>
  <si>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</si>
  <si>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</si>
  <si>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</si>
  <si>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</si>
  <si>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</si>
  <si>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</si>
  <si>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</si>
  <si>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</si>
  <si>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</si>
  <si>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</si>
  <si>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</si>
  <si>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</si>
  <si>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</si>
  <si>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</si>
  <si>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</si>
  <si>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</si>
  <si>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</si>
  <si>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</si>
  <si>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</si>
  <si>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</si>
  <si>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</si>
  <si>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</si>
  <si>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</si>
  <si>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</si>
  <si>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</si>
  <si>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</si>
  <si>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</si>
  <si>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</si>
  <si>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</si>
  <si>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</si>
  <si>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</si>
  <si>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</si>
  <si>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</si>
  <si>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</si>
  <si>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</si>
  <si>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</si>
  <si>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</si>
  <si>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</si>
  <si>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</si>
  <si>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</si>
  <si>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</si>
  <si>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</si>
  <si>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</si>
  <si>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</si>
  <si>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</si>
  <si>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</si>
  <si>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</si>
  <si>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</si>
  <si>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</si>
  <si>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</si>
  <si>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</si>
  <si>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</si>
  <si>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</si>
  <si>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</si>
  <si>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</si>
  <si>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</si>
  <si>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</si>
  <si>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</si>
  <si>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</si>
  <si>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</si>
  <si>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</si>
  <si>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</si>
  <si>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</si>
  <si>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</si>
  <si>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</si>
  <si>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</si>
  <si>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</si>
  <si>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</si>
  <si>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</si>
  <si>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</si>
  <si>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</si>
  <si>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</si>
  <si>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</si>
  <si>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</si>
  <si>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</si>
  <si>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</si>
  <si>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</si>
  <si>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</si>
  <si>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</si>
  <si>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</si>
  <si>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</si>
  <si>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</si>
  <si>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</si>
  <si>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</si>
  <si>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</si>
  <si>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</si>
  <si>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</si>
  <si>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</si>
  <si>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</si>
  <si>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</si>
  <si>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</si>
  <si>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</si>
  <si>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</si>
  <si>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</si>
  <si>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</si>
  <si>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</si>
  <si>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</si>
  <si>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</si>
  <si>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</si>
  <si>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</si>
  <si>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</si>
  <si>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</si>
  <si>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</si>
  <si>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</si>
  <si>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</si>
  <si>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</si>
  <si>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</si>
  <si>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</si>
  <si>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</si>
  <si>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</si>
  <si>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</si>
  <si>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</si>
  <si>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</si>
  <si>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</si>
  <si>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</si>
  <si>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</si>
  <si>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</si>
  <si>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</si>
  <si>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</si>
  <si>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</si>
  <si>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</si>
  <si>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</si>
  <si>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</si>
  <si>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</si>
  <si>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</si>
  <si>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</si>
  <si>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</si>
  <si>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</si>
  <si>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</si>
  <si>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</si>
  <si>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</si>
  <si>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</si>
  <si>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</si>
  <si>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</si>
  <si>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</si>
  <si>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</si>
  <si>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</si>
  <si>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</si>
  <si>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</si>
  <si>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</si>
  <si>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</si>
  <si>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</si>
  <si>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</si>
  <si>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</si>
  <si>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</si>
  <si>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</si>
  <si>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</si>
  <si>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</si>
  <si>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</si>
  <si>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</si>
  <si>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</si>
  <si>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</si>
  <si>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</si>
  <si>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</si>
  <si>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</si>
  <si>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</si>
  <si>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</si>
  <si>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</si>
  <si>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</si>
  <si>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</si>
  <si>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</si>
  <si>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</si>
  <si>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</si>
  <si>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</si>
  <si>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</si>
  <si>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</si>
  <si>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</si>
  <si>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</si>
  <si>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</si>
  <si>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</si>
  <si>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</si>
  <si>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</si>
  <si>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</si>
  <si>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</si>
  <si>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</si>
  <si>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</si>
  <si>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</si>
  <si>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</si>
  <si>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</si>
  <si>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</si>
  <si>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</si>
  <si>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</si>
  <si>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</si>
  <si>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</si>
  <si>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</si>
  <si>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</si>
  <si>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</si>
  <si>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</si>
  <si>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</si>
  <si>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</si>
  <si>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</si>
  <si>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</si>
  <si>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</si>
  <si>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</si>
  <si>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</si>
  <si>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</si>
  <si>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</si>
  <si>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</si>
  <si>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</si>
  <si>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</si>
  <si>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</si>
  <si>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</si>
  <si>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</si>
  <si>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</si>
  <si>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</si>
  <si>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</si>
  <si>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</si>
  <si>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</si>
  <si>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</si>
  <si>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</si>
  <si>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</si>
  <si>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</si>
  <si>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</si>
  <si>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</si>
  <si>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</si>
  <si>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</si>
  <si>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</si>
  <si>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</si>
  <si>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</si>
  <si>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</si>
  <si>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</si>
  <si>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</si>
  <si>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</si>
  <si>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</si>
  <si>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</si>
  <si>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</si>
  <si>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</si>
  <si>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</si>
  <si>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</si>
  <si>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</si>
  <si>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</si>
  <si>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</si>
  <si>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</si>
  <si>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</si>
  <si>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</si>
  <si>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</si>
  <si>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</si>
  <si>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</si>
  <si>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</si>
  <si>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</si>
  <si>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</si>
  <si>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</si>
  <si>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</si>
  <si>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</si>
  <si>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</si>
  <si>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</si>
  <si>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</si>
  <si>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</si>
  <si>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</si>
  <si>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</si>
  <si>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</si>
  <si>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</si>
  <si>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</si>
  <si>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</si>
  <si>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</si>
  <si>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</si>
  <si>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</si>
  <si>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</si>
  <si>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</si>
  <si>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</si>
  <si>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</si>
  <si>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</si>
  <si>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</si>
  <si>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</si>
  <si>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</si>
  <si>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</si>
  <si>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</si>
  <si>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</si>
  <si>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</si>
  <si>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</si>
  <si>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</si>
  <si>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</si>
  <si>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</si>
  <si>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</si>
  <si>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</si>
  <si>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</si>
  <si>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</si>
  <si>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</si>
  <si>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</si>
  <si>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</si>
  <si>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</si>
  <si>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</si>
  <si>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</si>
  <si>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</si>
  <si>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</si>
  <si>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</si>
  <si>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</si>
  <si>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</si>
  <si>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</si>
  <si>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</si>
  <si>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</si>
  <si>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</si>
  <si>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</si>
  <si>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</si>
  <si>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</si>
  <si>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</si>
  <si>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</si>
  <si>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</si>
  <si>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</si>
  <si>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</si>
  <si>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</si>
  <si>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</si>
  <si>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</si>
  <si>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</si>
  <si>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</si>
  <si>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</si>
  <si>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</si>
  <si>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</si>
  <si>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</si>
  <si>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</si>
  <si>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</si>
  <si>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</si>
  <si>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</si>
  <si>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</si>
  <si>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</si>
  <si>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</si>
  <si>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</si>
  <si>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</si>
  <si>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</si>
  <si>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</si>
  <si>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</si>
  <si>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</si>
  <si>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</si>
  <si>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</si>
  <si>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</si>
  <si>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</si>
  <si>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</si>
  <si>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</si>
  <si>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</si>
  <si>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</si>
  <si>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</si>
  <si>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</si>
  <si>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</si>
  <si>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</si>
  <si>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</si>
  <si>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</si>
  <si>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</si>
  <si>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</si>
  <si>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</si>
  <si>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</si>
  <si>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</si>
  <si>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</si>
  <si>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</si>
  <si>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</si>
  <si>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</si>
  <si>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</si>
  <si>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</si>
  <si>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</si>
  <si>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</si>
  <si>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</si>
  <si>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</si>
  <si>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</si>
  <si>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</si>
  <si>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</si>
  <si>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</si>
  <si>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</si>
  <si>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</si>
  <si>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</si>
  <si>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</si>
  <si>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</si>
  <si>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</si>
  <si>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</si>
  <si>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</si>
  <si>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</si>
  <si>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</si>
  <si>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</si>
  <si>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</si>
  <si>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</si>
  <si>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</si>
  <si>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</si>
  <si>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</si>
  <si>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</si>
  <si>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</si>
  <si>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</si>
  <si>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</si>
  <si>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</si>
  <si>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</si>
  <si>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</si>
  <si>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</si>
  <si>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</si>
  <si>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</si>
  <si>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</si>
  <si>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</si>
  <si>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</si>
  <si>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</si>
  <si>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</si>
  <si>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</si>
  <si>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</si>
  <si>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</si>
  <si>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</si>
  <si>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</si>
  <si>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</si>
  <si>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</si>
  <si>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</si>
  <si>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</si>
  <si>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</si>
  <si>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</si>
  <si>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</si>
  <si>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</si>
  <si>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</si>
  <si>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</si>
  <si>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</si>
  <si>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</si>
  <si>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</si>
  <si>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</si>
  <si>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</si>
  <si>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</si>
  <si>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</si>
  <si>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</si>
  <si>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</si>
  <si>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</si>
  <si>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</si>
  <si>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</si>
  <si>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</si>
  <si>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</si>
  <si>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</si>
  <si>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</si>
  <si>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</si>
  <si>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</si>
  <si>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</si>
  <si>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</si>
  <si>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</si>
  <si>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</si>
  <si>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</si>
  <si>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</si>
  <si>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</si>
  <si>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</si>
  <si>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</si>
  <si>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</si>
  <si>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</si>
  <si>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</si>
  <si>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</si>
  <si>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</si>
  <si>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</si>
  <si>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</si>
  <si>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</si>
  <si>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</si>
  <si>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</si>
  <si>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</si>
  <si>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</si>
  <si>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</si>
  <si>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</si>
  <si>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</si>
  <si>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</si>
  <si>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</si>
  <si>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</si>
  <si>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</si>
  <si>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</si>
  <si>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</si>
  <si>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</si>
  <si>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</si>
  <si>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</si>
  <si>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</si>
  <si>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</si>
  <si>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</si>
  <si>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</si>
  <si>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</si>
  <si>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</si>
  <si>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</si>
  <si>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</si>
  <si>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</si>
  <si>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</si>
  <si>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</si>
  <si>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</si>
  <si>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</si>
  <si>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</si>
  <si>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</si>
  <si>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</si>
  <si>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</si>
  <si>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</si>
  <si>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</si>
  <si>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</si>
  <si>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</si>
  <si>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</si>
  <si>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</si>
  <si>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</si>
  <si>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</si>
  <si>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</si>
  <si>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</si>
  <si>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</si>
  <si>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</si>
  <si>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</si>
  <si>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</si>
  <si>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</si>
  <si>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</si>
  <si>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</si>
  <si>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</si>
  <si>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</si>
  <si>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</si>
  <si>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</si>
  <si>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</si>
  <si>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</si>
  <si>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</si>
  <si>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</si>
  <si>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</si>
  <si>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</si>
  <si>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</si>
  <si>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</si>
  <si>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</si>
  <si>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</si>
  <si>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</si>
  <si>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</si>
  <si>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</si>
  <si>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</si>
  <si>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</si>
  <si>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</si>
  <si>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</si>
  <si>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</si>
  <si>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</si>
  <si>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</si>
  <si>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</si>
  <si>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</si>
  <si>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</si>
  <si>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</si>
  <si>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</si>
  <si>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</si>
  <si>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</si>
  <si>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</si>
  <si>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</si>
  <si>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</si>
  <si>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</si>
  <si>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</si>
  <si>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</si>
  <si>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</si>
  <si>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</si>
  <si>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</si>
  <si>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</si>
  <si>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</si>
  <si>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</si>
  <si>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</si>
  <si>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</si>
  <si>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</si>
  <si>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</si>
  <si>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</si>
  <si>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</si>
  <si>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</si>
  <si>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</si>
  <si>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</si>
  <si>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</si>
  <si>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</si>
  <si>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</si>
  <si>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</si>
  <si>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</si>
  <si>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</si>
  <si>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</si>
  <si>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</si>
  <si>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</si>
  <si>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</si>
  <si>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</si>
  <si>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</si>
  <si>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</si>
  <si>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</si>
  <si>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</si>
  <si>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</si>
  <si>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</si>
  <si>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</si>
  <si>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</si>
  <si>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</si>
  <si>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</si>
  <si>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</si>
  <si>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</si>
  <si>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</si>
  <si>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</si>
  <si>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</si>
  <si>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</si>
  <si>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</si>
  <si>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</si>
  <si>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</si>
  <si>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</si>
  <si>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</si>
  <si>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</si>
  <si>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</si>
  <si>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</si>
  <si>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</si>
  <si>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</si>
  <si>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</si>
  <si>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</si>
  <si>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</si>
  <si>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</si>
  <si>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</si>
  <si>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</si>
  <si>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</si>
  <si>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</si>
  <si>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</si>
  <si>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</si>
  <si>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</si>
  <si>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</si>
  <si>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</si>
  <si>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</si>
  <si>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</si>
  <si>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</si>
  <si>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</si>
  <si>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</si>
  <si>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</si>
  <si>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</si>
  <si>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</si>
  <si>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</si>
  <si>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</si>
  <si>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</si>
  <si>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</si>
  <si>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</si>
  <si>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</si>
  <si>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</si>
  <si>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</si>
  <si>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</si>
  <si>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</si>
  <si>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</si>
  <si>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</si>
  <si>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</si>
  <si>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</si>
  <si>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</si>
  <si>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</si>
  <si>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</si>
  <si>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</si>
  <si>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</si>
  <si>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</si>
  <si>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</si>
  <si>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</si>
  <si>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</si>
  <si>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</si>
  <si>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</si>
  <si>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</si>
  <si>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</si>
  <si>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</si>
  <si>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</si>
  <si>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</si>
  <si>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</si>
  <si>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</si>
  <si>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</si>
  <si>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</si>
  <si>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</si>
  <si>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</si>
  <si>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</si>
  <si>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</si>
  <si>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</si>
  <si>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</si>
  <si>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</si>
  <si>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</si>
  <si>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</si>
  <si>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</si>
  <si>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DERRY COOPERATIVE SCHOOL DISTRICT</t>
  </si>
  <si>
    <t>07/03</t>
  </si>
  <si>
    <t>07/23</t>
  </si>
  <si>
    <t>01/11</t>
  </si>
  <si>
    <t>07/19</t>
  </si>
  <si>
    <t>07/25</t>
  </si>
  <si>
    <t>9/17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</si>
</sst>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G666" sqref="G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131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-2004794.63+200+6034328.97</f>
        <v>4029734.34</v>
      </c>
      <c r="G9" s="18">
        <v>925</v>
      </c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280683.45</v>
      </c>
      <c r="G12" s="18">
        <v>145903.42000000001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81051.149999999994</v>
      </c>
      <c r="G13" s="18"/>
      <c r="H13" s="18">
        <v>396751.15</v>
      </c>
      <c r="I13" s="18"/>
      <c r="J13" s="67">
        <f>SUM(I442)</f>
        <v>186726.94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15153.62+130541.47</f>
        <v>145695.09</v>
      </c>
      <c r="G14" s="18"/>
      <c r="H14" s="18">
        <v>417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40319.83</v>
      </c>
      <c r="G16" s="18">
        <f>84959.12+1480.29</f>
        <v>86439.409999999989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4577483.8600000003</v>
      </c>
      <c r="G19" s="41">
        <f>SUM(G9:G18)</f>
        <v>233267.83000000002</v>
      </c>
      <c r="H19" s="41">
        <f>SUM(H9:H18)</f>
        <v>397168.15</v>
      </c>
      <c r="I19" s="41">
        <f>SUM(I9:I18)</f>
        <v>0</v>
      </c>
      <c r="J19" s="41">
        <f>SUM(J9:J18)</f>
        <v>186726.94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>
        <f>397255.55</f>
        <v>397255.55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65330.080000000002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612950.54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f>31670.41+14450</f>
        <v>46120.41</v>
      </c>
      <c r="G30" s="18">
        <v>36175.54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724401.03</v>
      </c>
      <c r="G32" s="41">
        <f>SUM(G22:G31)</f>
        <v>36175.54</v>
      </c>
      <c r="H32" s="41">
        <f>SUM(H22:H31)</f>
        <v>397255.55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40319.83</v>
      </c>
      <c r="G35" s="18">
        <v>86439.41</v>
      </c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208899.42-98246.54</f>
        <v>110652.88000000002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430000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-87.4</v>
      </c>
      <c r="I48" s="18"/>
      <c r="J48" s="13">
        <f>SUM(I459)</f>
        <v>186726.94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894704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3853082.83-430000-40319.83-894704</f>
        <v>2488059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3853082.83</v>
      </c>
      <c r="G51" s="41">
        <f>SUM(G35:G50)</f>
        <v>197092.29000000004</v>
      </c>
      <c r="H51" s="41">
        <f>SUM(H35:H50)</f>
        <v>-87.4</v>
      </c>
      <c r="I51" s="41">
        <f>SUM(I35:I50)</f>
        <v>0</v>
      </c>
      <c r="J51" s="41">
        <f>SUM(J35:J50)</f>
        <v>186726.94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4577483.8600000003</v>
      </c>
      <c r="G52" s="41">
        <f>G51+G32</f>
        <v>233267.83000000005</v>
      </c>
      <c r="H52" s="41">
        <f>H51+H32</f>
        <v>397168.14999999997</v>
      </c>
      <c r="I52" s="41">
        <f>I51+I32</f>
        <v>0</v>
      </c>
      <c r="J52" s="41">
        <f>J51+J32</f>
        <v>186726.94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54352428-6183365</f>
        <v>48169063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48169063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f>73010.91+852.5+750+500565.91</f>
        <v>575179.31999999995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f>77142.76+11305.41</f>
        <v>88448.17</v>
      </c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8490.29</f>
        <v>8490.2900000000009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672117.78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25431.599999999999</v>
      </c>
      <c r="G96" s="18"/>
      <c r="H96" s="18"/>
      <c r="I96" s="18"/>
      <c r="J96" s="18">
        <v>2374.6999999999998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816.33+97451.76+58547.44+73605.08+103276.35+96341.81+155263.18+172953.97+8727.88+85941.53</f>
        <v>852925.33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63650.91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>
        <v>1000</v>
      </c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400947.9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490030.41000000003</v>
      </c>
      <c r="G111" s="41">
        <f>SUM(G96:G110)</f>
        <v>853925.33</v>
      </c>
      <c r="H111" s="41">
        <f>SUM(H96:H110)</f>
        <v>0</v>
      </c>
      <c r="I111" s="41">
        <f>SUM(I96:I110)</f>
        <v>0</v>
      </c>
      <c r="J111" s="41">
        <f>SUM(J96:J110)</f>
        <v>2374.6999999999998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49331211.189999998</v>
      </c>
      <c r="G112" s="41">
        <f>G60+G111</f>
        <v>853925.33</v>
      </c>
      <c r="H112" s="41">
        <f>H60+H79+H94+H111</f>
        <v>0</v>
      </c>
      <c r="I112" s="41">
        <f>I60+I111</f>
        <v>0</v>
      </c>
      <c r="J112" s="41">
        <f>J60+J111</f>
        <v>2374.6999999999998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23934391.21-54431.67</f>
        <v>23879959.539999999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6183365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96599.74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30159924.279999997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564659.07999999996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831989.61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20951.95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1396648.69</v>
      </c>
      <c r="G136" s="41">
        <f>SUM(G123:G135)</f>
        <v>20951.95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31556572.969999999</v>
      </c>
      <c r="G140" s="41">
        <f>G121+SUM(G136:G137)</f>
        <v>20951.95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28141.71+8080.72+13705.8+581223.09+25951.06+98491.66+12126.6</f>
        <v>767720.64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244764.55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f>22988.55+21454.78+30188.93+3026.33+1705.59+4803.6</f>
        <v>84167.780000000013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485689.81+23318.8-20951.95</f>
        <v>488056.66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1161520.02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284153.02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284153.02</v>
      </c>
      <c r="G162" s="41">
        <f>SUM(G150:G161)</f>
        <v>488056.66</v>
      </c>
      <c r="H162" s="41">
        <f>SUM(H150:H161)</f>
        <v>2258172.9900000002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284153.02</v>
      </c>
      <c r="G169" s="41">
        <f>G147+G162+SUM(G163:G168)</f>
        <v>488056.66</v>
      </c>
      <c r="H169" s="41">
        <f>H147+H162+SUM(H163:H168)</f>
        <v>2258172.9900000002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81171937.179999992</v>
      </c>
      <c r="G193" s="47">
        <f>G112+G140+G169+G192</f>
        <v>1362933.94</v>
      </c>
      <c r="H193" s="47">
        <f>H112+H140+H169+H192</f>
        <v>2258172.9900000002</v>
      </c>
      <c r="I193" s="47">
        <f>I112+I140+I169+I192</f>
        <v>0</v>
      </c>
      <c r="J193" s="47">
        <f>J112+J140+J192</f>
        <v>2374.6999999999998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7628169.42+255409.15+229139.31</f>
        <v>8112717.8799999999</v>
      </c>
      <c r="G197" s="18">
        <f>2151726.64+169179.21+13514.62+4743.61+49612.65+1341508.39+571948.69+28953.98+6028.2+165000+74081.22</f>
        <v>4576297.2100000009</v>
      </c>
      <c r="H197" s="18">
        <f>1450+1080</f>
        <v>2530</v>
      </c>
      <c r="I197" s="18">
        <f>38860.07+114431.67+12680.49</f>
        <v>165972.22999999998</v>
      </c>
      <c r="J197" s="18">
        <f>2885.85+2795.73+2819.53</f>
        <v>8501.11</v>
      </c>
      <c r="K197" s="18"/>
      <c r="L197" s="19">
        <f>SUM(F197:K197)</f>
        <v>12866018.43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1302737.17+61777+350131+659713.55+376095.65+266945.38+893859.63+194003.1</f>
        <v>4105262.4799999995</v>
      </c>
      <c r="G198" s="18">
        <f>785490.81+6984.14+62391.64+84991.33+408.14+5419.68+7860.93+28251.67+407934.88+10724.48+65220.81+257934.14+4593.17+27517.13+3241.2+39000+52632.99</f>
        <v>1850597.1400000001</v>
      </c>
      <c r="H198" s="18">
        <f>589060.94+550221.75+2867.77</f>
        <v>1142150.46</v>
      </c>
      <c r="I198" s="18">
        <f>3007.27+1109.07+2458.23+1138.07</f>
        <v>7712.6399999999994</v>
      </c>
      <c r="J198" s="18">
        <f>359.9+2347.62</f>
        <v>2707.52</v>
      </c>
      <c r="K198" s="18">
        <v>1740.09</v>
      </c>
      <c r="L198" s="19">
        <f>SUM(F198:K198)</f>
        <v>7110170.3299999982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f>17688.48+49887.77</f>
        <v>67576.25</v>
      </c>
      <c r="G200" s="18">
        <f>2806.05+1264.81+122.34+10095.94</f>
        <v>14289.14</v>
      </c>
      <c r="H200" s="18"/>
      <c r="I200" s="18"/>
      <c r="J200" s="18"/>
      <c r="K200" s="18"/>
      <c r="L200" s="19">
        <f>SUM(F200:K200)</f>
        <v>81865.39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380330.85+337941+424246.23+899554.36</f>
        <v>2042072.44</v>
      </c>
      <c r="G202" s="18">
        <f>116542.47+137820.28+95337.86+7676.66+8662.08+6969.69+7762.07+74023.99+66025.23+58666.82+53.55+30149.9+26351.41+23978.67+79.67+2339+700+545605.36</f>
        <v>1208744.71</v>
      </c>
      <c r="H202" s="18">
        <f>6633+163349.27+603526.32+10839.2+7966.33</f>
        <v>792314.11999999988</v>
      </c>
      <c r="I202" s="18">
        <f>453.46+5578.58+10491.28</f>
        <v>16523.32</v>
      </c>
      <c r="J202" s="18"/>
      <c r="K202" s="18"/>
      <c r="L202" s="19">
        <f t="shared" ref="L202:L208" si="0">SUM(F202:K202)</f>
        <v>4059654.5899999994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100821.83+101602.3+288780.75</f>
        <v>491204.88</v>
      </c>
      <c r="G203" s="18">
        <f>5170.47+6000+2551.82+4441.99+7356.45+8124.89+11473.26+10956.87+184157.14</f>
        <v>240232.89</v>
      </c>
      <c r="H203" s="18">
        <f>6401.41+5159.7+586.72+140941.36</f>
        <v>153089.18999999997</v>
      </c>
      <c r="I203" s="18">
        <f>3764.61+16481.4+103114.55</f>
        <v>123360.56</v>
      </c>
      <c r="J203" s="18">
        <f>4193.3+21168</f>
        <v>25361.3</v>
      </c>
      <c r="K203" s="18">
        <v>343.68</v>
      </c>
      <c r="L203" s="19">
        <f t="shared" si="0"/>
        <v>1033592.5000000001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336907.84</v>
      </c>
      <c r="G204" s="18">
        <v>169766.66</v>
      </c>
      <c r="H204" s="18">
        <f>98081.81+8162.6+9166.08</f>
        <v>115410.49</v>
      </c>
      <c r="I204" s="18">
        <v>12477.2</v>
      </c>
      <c r="J204" s="18"/>
      <c r="K204" s="18">
        <v>9085.11</v>
      </c>
      <c r="L204" s="19">
        <f t="shared" si="0"/>
        <v>643647.29999999993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265753.6+912141.73</f>
        <v>1177895.33</v>
      </c>
      <c r="G205" s="18">
        <f>496070.5+30168.58+148976.22+85030.31+30310.54+22000+28079.2</f>
        <v>840635.34999999986</v>
      </c>
      <c r="H205" s="18">
        <f>73724.72+1514.63+9752.44+729.93</f>
        <v>85721.72</v>
      </c>
      <c r="I205" s="18">
        <f>12198.29+178.72</f>
        <v>12377.01</v>
      </c>
      <c r="J205" s="18">
        <f>1576+1059.95+812.38</f>
        <v>3448.33</v>
      </c>
      <c r="K205" s="18">
        <v>8672</v>
      </c>
      <c r="L205" s="19">
        <f t="shared" si="0"/>
        <v>2128749.7399999998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211842.29</v>
      </c>
      <c r="G206" s="18">
        <v>109912.67</v>
      </c>
      <c r="H206" s="18">
        <f>649.08+616.65</f>
        <v>1265.73</v>
      </c>
      <c r="I206" s="18">
        <v>28.65</v>
      </c>
      <c r="J206" s="18"/>
      <c r="K206" s="18">
        <v>3338.57</v>
      </c>
      <c r="L206" s="19">
        <f t="shared" si="0"/>
        <v>326387.91000000003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661790.8+239757.97</f>
        <v>901548.77</v>
      </c>
      <c r="G207" s="18">
        <f>285360.63+17188.47+45284.79+75082.38+130234.18</f>
        <v>553150.44999999995</v>
      </c>
      <c r="H207" s="18">
        <f>67123.18+27093+26250.8+219608.17+100427.66</f>
        <v>440502.81000000006</v>
      </c>
      <c r="I207" s="18">
        <f>49935.08+262259.14+115512.43+49956.27+48019.98+13709.38</f>
        <v>539392.28</v>
      </c>
      <c r="J207" s="18"/>
      <c r="K207" s="18"/>
      <c r="L207" s="19">
        <f t="shared" si="0"/>
        <v>2434594.31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174519.95+65091.6+849015+40863.06+523496.71</f>
        <v>1652986.32</v>
      </c>
      <c r="I208" s="18"/>
      <c r="J208" s="18"/>
      <c r="K208" s="18"/>
      <c r="L208" s="19">
        <f t="shared" si="0"/>
        <v>1652986.32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>
        <f>44021.16+29767.68</f>
        <v>73788.84</v>
      </c>
      <c r="J209" s="18"/>
      <c r="K209" s="18"/>
      <c r="L209" s="19">
        <f>SUM(F209:K209)</f>
        <v>73788.84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17447028.16</v>
      </c>
      <c r="G211" s="41">
        <f t="shared" si="1"/>
        <v>9563626.2200000007</v>
      </c>
      <c r="H211" s="41">
        <f t="shared" si="1"/>
        <v>4385970.84</v>
      </c>
      <c r="I211" s="41">
        <f t="shared" si="1"/>
        <v>951632.7300000001</v>
      </c>
      <c r="J211" s="41">
        <f t="shared" si="1"/>
        <v>40018.26</v>
      </c>
      <c r="K211" s="41">
        <f t="shared" si="1"/>
        <v>23179.45</v>
      </c>
      <c r="L211" s="41">
        <f t="shared" si="1"/>
        <v>32411455.659999996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4494545.29+128890.86</f>
        <v>4623436.1500000004</v>
      </c>
      <c r="G215" s="18">
        <f>1268134.71+85851.08+8577.18+19845.06+201.81+797656.78+82.92+326233.36+4018.8+103200+41670.69</f>
        <v>2655472.3899999997</v>
      </c>
      <c r="H215" s="18">
        <f>2102.68+2526.25+607.5</f>
        <v>5236.43</v>
      </c>
      <c r="I215" s="18">
        <f>40511.45+6410.7+2821.25</f>
        <v>49743.399999999994</v>
      </c>
      <c r="J215" s="18">
        <f>1816.2+1294.11+99.99</f>
        <v>3210.2999999999997</v>
      </c>
      <c r="K215" s="18"/>
      <c r="L215" s="19">
        <f>SUM(F215:K215)</f>
        <v>7337098.6699999999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718644.37+61426.09+203020+119142+264503+345591.83+109126.75</f>
        <v>1821454.04</v>
      </c>
      <c r="G216" s="18">
        <f>349288.44+23866.45+81551.56+35015.76+766.02+5621.49+3294.3+11300.68+184629.46+10663.5+45099.35+101974.92+4239.96+18647.7+773.33+2160.8+27800+29606.05+4906.51</f>
        <v>941206.28</v>
      </c>
      <c r="H216" s="18">
        <f>911155.45+1613.12</f>
        <v>912768.57</v>
      </c>
      <c r="I216" s="18">
        <f>568.83+400.09+640.17</f>
        <v>1609.0900000000001</v>
      </c>
      <c r="J216" s="18">
        <f>1320.54</f>
        <v>1320.54</v>
      </c>
      <c r="K216" s="18">
        <v>978.8</v>
      </c>
      <c r="L216" s="19">
        <f>SUM(F216:K216)</f>
        <v>3679337.32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128689.27+28061.87</f>
        <v>156751.14000000001</v>
      </c>
      <c r="G218" s="18">
        <f>15324.05+9500.1+97.07+5678.97</f>
        <v>30600.190000000002</v>
      </c>
      <c r="H218" s="18">
        <f>17143+1735.65</f>
        <v>18878.650000000001</v>
      </c>
      <c r="I218" s="18">
        <v>11711.96</v>
      </c>
      <c r="J218" s="18">
        <v>6317.42</v>
      </c>
      <c r="K218" s="18">
        <v>2800</v>
      </c>
      <c r="L218" s="19">
        <f>SUM(F218:K218)</f>
        <v>227059.36000000002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135130+69479+360787+505999.32</f>
        <v>1071395.32</v>
      </c>
      <c r="G220" s="18">
        <f>75680.35+41283.65+21097.02+6089.48+2638.65+1692.39+62632.59+23458.5+12061.64+0.02+26215.19+9340.16+5121.55+306903.02</f>
        <v>594214.21</v>
      </c>
      <c r="H220" s="18">
        <f>3525.75+83746.5+296179.32+6097.05+4481.06</f>
        <v>394029.68</v>
      </c>
      <c r="I220" s="18">
        <f>292.38+2999.08+5901.34</f>
        <v>9192.7999999999993</v>
      </c>
      <c r="J220" s="18"/>
      <c r="K220" s="18"/>
      <c r="L220" s="19">
        <f t="shared" ref="L220:L226" si="2">SUM(F220:K220)</f>
        <v>2068832.01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98152.6+162439.17</f>
        <v>260591.77000000002</v>
      </c>
      <c r="G221" s="18">
        <f>11312.19+1088.64+10364.86+7483.59+4375.35+103588.39</f>
        <v>138213.02000000002</v>
      </c>
      <c r="H221" s="18">
        <f>9881.22+6045.65+330.03+79279.51</f>
        <v>95536.409999999989</v>
      </c>
      <c r="I221" s="18">
        <f>1841.84+9449.45+58001.94</f>
        <v>69293.23000000001</v>
      </c>
      <c r="J221" s="18">
        <f>1677.32+11907</f>
        <v>13584.32</v>
      </c>
      <c r="K221" s="18">
        <v>193.32</v>
      </c>
      <c r="L221" s="19">
        <f t="shared" si="2"/>
        <v>577412.06999999995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189510.66</v>
      </c>
      <c r="G222" s="18">
        <v>95493.74</v>
      </c>
      <c r="H222" s="18">
        <f>55171.02+4591.47+5155.92</f>
        <v>64918.409999999996</v>
      </c>
      <c r="I222" s="18">
        <v>7018.42</v>
      </c>
      <c r="J222" s="18"/>
      <c r="K222" s="18">
        <v>5110.38</v>
      </c>
      <c r="L222" s="19">
        <f t="shared" si="2"/>
        <v>362051.61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91018.23+600671.97</f>
        <v>691690.2</v>
      </c>
      <c r="G223" s="18">
        <f>291762.67+15366.73+93488.63+50514.78+8575.56+5500+15794.55</f>
        <v>481002.91999999993</v>
      </c>
      <c r="H223" s="18">
        <f>46073.45+1438.5+734+231.43+193.68</f>
        <v>48671.06</v>
      </c>
      <c r="I223" s="18">
        <f>9951.23+25.6</f>
        <v>9976.83</v>
      </c>
      <c r="J223" s="18">
        <f>719.96+456.97</f>
        <v>1176.93</v>
      </c>
      <c r="K223" s="18">
        <v>4807.5</v>
      </c>
      <c r="L223" s="19">
        <f t="shared" si="2"/>
        <v>1237325.44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119161.29</v>
      </c>
      <c r="G224" s="18">
        <v>61825.87</v>
      </c>
      <c r="H224" s="18">
        <f>346.86+365.11</f>
        <v>711.97</v>
      </c>
      <c r="I224" s="18">
        <v>16.11</v>
      </c>
      <c r="J224" s="18"/>
      <c r="K224" s="18">
        <v>636.29</v>
      </c>
      <c r="L224" s="19">
        <f t="shared" si="2"/>
        <v>182351.53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313599.34+134863.86</f>
        <v>448463.2</v>
      </c>
      <c r="G225" s="18">
        <f>129529.95+7707.63+21555.92+33739.15+73256.72</f>
        <v>265789.37</v>
      </c>
      <c r="H225" s="18">
        <f>53489.83+18355.23+15429.05+123529.59+56490.56</f>
        <v>267294.26</v>
      </c>
      <c r="I225" s="18">
        <f>163040.61+80645.06+27011.24</f>
        <v>270696.90999999997</v>
      </c>
      <c r="J225" s="18"/>
      <c r="K225" s="18"/>
      <c r="L225" s="19">
        <f t="shared" si="2"/>
        <v>1252243.74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136212.05+452808+29755.33+294466.9</f>
        <v>913242.28</v>
      </c>
      <c r="I226" s="18"/>
      <c r="J226" s="18"/>
      <c r="K226" s="18"/>
      <c r="L226" s="19">
        <f t="shared" si="2"/>
        <v>913242.28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>
        <f>28234.48+16744.32</f>
        <v>44978.8</v>
      </c>
      <c r="J227" s="18"/>
      <c r="K227" s="18"/>
      <c r="L227" s="19">
        <f>SUM(F227:K227)</f>
        <v>44978.8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9382453.7699999977</v>
      </c>
      <c r="G229" s="41">
        <f>SUM(G215:G228)</f>
        <v>5263817.99</v>
      </c>
      <c r="H229" s="41">
        <f>SUM(H215:H228)</f>
        <v>2721287.7199999997</v>
      </c>
      <c r="I229" s="41">
        <f>SUM(I215:I228)</f>
        <v>474237.54999999993</v>
      </c>
      <c r="J229" s="41">
        <f>SUM(J215:J228)</f>
        <v>25609.510000000002</v>
      </c>
      <c r="K229" s="41">
        <f t="shared" si="3"/>
        <v>14526.29</v>
      </c>
      <c r="L229" s="41">
        <f t="shared" si="3"/>
        <v>17881932.829999998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20064510.57+20541.01+9867.5</f>
        <v>20094919.080000002</v>
      </c>
      <c r="I233" s="18"/>
      <c r="J233" s="18"/>
      <c r="K233" s="18"/>
      <c r="L233" s="19">
        <f>SUM(F233:K233)</f>
        <v>20094919.080000002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5651050.6200000001</v>
      </c>
      <c r="I234" s="18"/>
      <c r="J234" s="18"/>
      <c r="K234" s="18"/>
      <c r="L234" s="19">
        <f>SUM(F234:K234)</f>
        <v>5651050.6200000001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>
        <v>186400</v>
      </c>
      <c r="I236" s="18"/>
      <c r="J236" s="18"/>
      <c r="K236" s="18"/>
      <c r="L236" s="19">
        <f>SUM(F236:K236)</f>
        <v>186400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f>5225+116576.11</f>
        <v>121801.11</v>
      </c>
      <c r="I238" s="18"/>
      <c r="J238" s="18"/>
      <c r="K238" s="18"/>
      <c r="L238" s="19">
        <f t="shared" ref="L238:L244" si="4">SUM(F238:K238)</f>
        <v>121801.11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141739.21+679212+21335.58</f>
        <v>842286.78999999992</v>
      </c>
      <c r="I244" s="18"/>
      <c r="J244" s="18"/>
      <c r="K244" s="18"/>
      <c r="L244" s="19">
        <f t="shared" si="4"/>
        <v>842286.78999999992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26896457.600000001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26896457.600000001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f>24583.7+34555.25</f>
        <v>59138.95</v>
      </c>
      <c r="G251" s="18">
        <f>340.49+4525.5</f>
        <v>4865.99</v>
      </c>
      <c r="H251" s="18">
        <f>6489.45+3676+566.71+4063.64</f>
        <v>14795.8</v>
      </c>
      <c r="I251" s="18">
        <v>4128.25</v>
      </c>
      <c r="J251" s="18"/>
      <c r="K251" s="18"/>
      <c r="L251" s="19">
        <f t="shared" si="6"/>
        <v>82928.989999999991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59138.95</v>
      </c>
      <c r="G256" s="41">
        <f t="shared" si="7"/>
        <v>4865.99</v>
      </c>
      <c r="H256" s="41">
        <f t="shared" si="7"/>
        <v>14795.8</v>
      </c>
      <c r="I256" s="41">
        <f t="shared" si="7"/>
        <v>4128.25</v>
      </c>
      <c r="J256" s="41">
        <f t="shared" si="7"/>
        <v>0</v>
      </c>
      <c r="K256" s="41">
        <f t="shared" si="7"/>
        <v>0</v>
      </c>
      <c r="L256" s="41">
        <f>SUM(F256:K256)</f>
        <v>82928.989999999991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26888620.879999999</v>
      </c>
      <c r="G257" s="41">
        <f t="shared" si="8"/>
        <v>14832310.200000001</v>
      </c>
      <c r="H257" s="41">
        <f t="shared" si="8"/>
        <v>34018511.960000001</v>
      </c>
      <c r="I257" s="41">
        <f t="shared" si="8"/>
        <v>1429998.53</v>
      </c>
      <c r="J257" s="41">
        <f t="shared" si="8"/>
        <v>65627.77</v>
      </c>
      <c r="K257" s="41">
        <f t="shared" si="8"/>
        <v>37705.740000000005</v>
      </c>
      <c r="L257" s="41">
        <f t="shared" si="8"/>
        <v>77272775.079999998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f>1465000+211702.38</f>
        <v>1676702.38</v>
      </c>
      <c r="L260" s="19">
        <f>SUM(F260:K260)</f>
        <v>1676702.38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f>344750+242858.62</f>
        <v>587608.62</v>
      </c>
      <c r="L261" s="19">
        <f>SUM(F261:K261)</f>
        <v>587608.62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348822.24</v>
      </c>
      <c r="L268" s="19">
        <f t="shared" si="9"/>
        <v>348822.24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2613133.2400000002</v>
      </c>
      <c r="L270" s="41">
        <f t="shared" si="9"/>
        <v>2613133.2400000002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26888620.879999999</v>
      </c>
      <c r="G271" s="42">
        <f t="shared" si="11"/>
        <v>14832310.200000001</v>
      </c>
      <c r="H271" s="42">
        <f t="shared" si="11"/>
        <v>34018511.960000001</v>
      </c>
      <c r="I271" s="42">
        <f t="shared" si="11"/>
        <v>1429998.53</v>
      </c>
      <c r="J271" s="42">
        <f t="shared" si="11"/>
        <v>65627.77</v>
      </c>
      <c r="K271" s="42">
        <f t="shared" si="11"/>
        <v>2650838.9800000004</v>
      </c>
      <c r="L271" s="42">
        <f t="shared" si="11"/>
        <v>79885908.319999993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449467.99+63236.9</f>
        <v>512704.89</v>
      </c>
      <c r="G276" s="18">
        <f>169985.02+16824.77</f>
        <v>186809.78999999998</v>
      </c>
      <c r="H276" s="18"/>
      <c r="I276" s="18">
        <f>47099.34+5564.14-139.94</f>
        <v>52523.539999999994</v>
      </c>
      <c r="J276" s="18">
        <f>29592.1+1429.75</f>
        <v>31021.85</v>
      </c>
      <c r="K276" s="18">
        <f>10404.59+12066.9+295</f>
        <v>22766.489999999998</v>
      </c>
      <c r="L276" s="19">
        <f>SUM(F276:K276)</f>
        <v>805826.55999999994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310086.55</f>
        <v>310086.55</v>
      </c>
      <c r="G277" s="18">
        <f>64120.77</f>
        <v>64120.77</v>
      </c>
      <c r="H277" s="18"/>
      <c r="I277" s="18"/>
      <c r="J277" s="18"/>
      <c r="K277" s="18"/>
      <c r="L277" s="19">
        <f>SUM(F277:K277)</f>
        <v>374207.32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42733</v>
      </c>
      <c r="G281" s="18"/>
      <c r="H281" s="18">
        <f>12793+5490.54+358034.28</f>
        <v>376317.82</v>
      </c>
      <c r="I281" s="18"/>
      <c r="J281" s="18"/>
      <c r="K281" s="18"/>
      <c r="L281" s="19">
        <f t="shared" ref="L281:L287" si="12">SUM(F281:K281)</f>
        <v>419050.82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9913.09</v>
      </c>
      <c r="G282" s="18"/>
      <c r="H282" s="18">
        <f>3991.29+55075.88</f>
        <v>59067.17</v>
      </c>
      <c r="I282" s="18"/>
      <c r="J282" s="18"/>
      <c r="K282" s="18"/>
      <c r="L282" s="19">
        <f t="shared" si="12"/>
        <v>68980.259999999995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875437.52999999991</v>
      </c>
      <c r="G290" s="42">
        <f t="shared" si="13"/>
        <v>250930.55999999997</v>
      </c>
      <c r="H290" s="42">
        <f t="shared" si="13"/>
        <v>435384.99</v>
      </c>
      <c r="I290" s="42">
        <f t="shared" si="13"/>
        <v>52523.539999999994</v>
      </c>
      <c r="J290" s="42">
        <f t="shared" si="13"/>
        <v>31021.85</v>
      </c>
      <c r="K290" s="42">
        <f t="shared" si="13"/>
        <v>22766.489999999998</v>
      </c>
      <c r="L290" s="41">
        <f t="shared" si="13"/>
        <v>1668064.96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35067.42</f>
        <v>35067.42</v>
      </c>
      <c r="G295" s="18">
        <f>9463.94</f>
        <v>9463.94</v>
      </c>
      <c r="H295" s="18"/>
      <c r="I295" s="18">
        <v>3129.83</v>
      </c>
      <c r="J295" s="18">
        <v>804.23</v>
      </c>
      <c r="K295" s="18">
        <f>6787.63</f>
        <v>6787.63</v>
      </c>
      <c r="L295" s="19">
        <f>SUM(F295:K295)</f>
        <v>55253.05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174423.69</v>
      </c>
      <c r="G296" s="18">
        <f>36067.93</f>
        <v>36067.93</v>
      </c>
      <c r="H296" s="18"/>
      <c r="I296" s="18"/>
      <c r="J296" s="18"/>
      <c r="K296" s="18"/>
      <c r="L296" s="19">
        <f>SUM(F296:K296)</f>
        <v>210491.62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f>201394.28</f>
        <v>201394.28</v>
      </c>
      <c r="I300" s="18"/>
      <c r="J300" s="18"/>
      <c r="K300" s="18"/>
      <c r="L300" s="19">
        <f t="shared" ref="L300:L306" si="14">SUM(F300:K300)</f>
        <v>201394.28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5576.12</v>
      </c>
      <c r="G301" s="18"/>
      <c r="H301" s="18">
        <f>2245.1+30980.18</f>
        <v>33225.279999999999</v>
      </c>
      <c r="I301" s="18"/>
      <c r="J301" s="18"/>
      <c r="K301" s="18"/>
      <c r="L301" s="19">
        <f t="shared" si="14"/>
        <v>38801.4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215067.22999999998</v>
      </c>
      <c r="G309" s="42">
        <f t="shared" si="15"/>
        <v>45531.87</v>
      </c>
      <c r="H309" s="42">
        <f t="shared" si="15"/>
        <v>234619.56</v>
      </c>
      <c r="I309" s="42">
        <f t="shared" si="15"/>
        <v>3129.83</v>
      </c>
      <c r="J309" s="42">
        <f t="shared" si="15"/>
        <v>804.23</v>
      </c>
      <c r="K309" s="42">
        <f t="shared" si="15"/>
        <v>6787.63</v>
      </c>
      <c r="L309" s="41">
        <f t="shared" si="15"/>
        <v>505940.35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65079.93</v>
      </c>
      <c r="G333" s="18">
        <v>4976.97</v>
      </c>
      <c r="H333" s="18">
        <f>6500+3077.93</f>
        <v>9577.93</v>
      </c>
      <c r="I333" s="18">
        <f>2929.51-277.06</f>
        <v>2652.4500000000003</v>
      </c>
      <c r="J333" s="18">
        <v>824.75</v>
      </c>
      <c r="K333" s="18">
        <f>30+1025.65</f>
        <v>1055.6500000000001</v>
      </c>
      <c r="L333" s="19">
        <f t="shared" si="18"/>
        <v>84167.679999999978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65079.93</v>
      </c>
      <c r="G337" s="41">
        <f t="shared" si="19"/>
        <v>4976.97</v>
      </c>
      <c r="H337" s="41">
        <f t="shared" si="19"/>
        <v>9577.93</v>
      </c>
      <c r="I337" s="41">
        <f t="shared" si="19"/>
        <v>2652.4500000000003</v>
      </c>
      <c r="J337" s="41">
        <f t="shared" si="19"/>
        <v>824.75</v>
      </c>
      <c r="K337" s="41">
        <f t="shared" si="19"/>
        <v>1055.6500000000001</v>
      </c>
      <c r="L337" s="41">
        <f t="shared" si="18"/>
        <v>84167.679999999978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1155584.6899999997</v>
      </c>
      <c r="G338" s="41">
        <f t="shared" si="20"/>
        <v>301439.39999999997</v>
      </c>
      <c r="H338" s="41">
        <f t="shared" si="20"/>
        <v>679582.4800000001</v>
      </c>
      <c r="I338" s="41">
        <f t="shared" si="20"/>
        <v>58305.819999999992</v>
      </c>
      <c r="J338" s="41">
        <f t="shared" si="20"/>
        <v>32650.829999999998</v>
      </c>
      <c r="K338" s="41">
        <f t="shared" si="20"/>
        <v>30609.77</v>
      </c>
      <c r="L338" s="41">
        <f t="shared" si="20"/>
        <v>2258172.9900000002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1155584.6899999997</v>
      </c>
      <c r="G352" s="41">
        <f>G338</f>
        <v>301439.39999999997</v>
      </c>
      <c r="H352" s="41">
        <f>H338</f>
        <v>679582.4800000001</v>
      </c>
      <c r="I352" s="41">
        <f>I338</f>
        <v>58305.819999999992</v>
      </c>
      <c r="J352" s="41">
        <f>J338</f>
        <v>32650.829999999998</v>
      </c>
      <c r="K352" s="47">
        <f>K338+K351</f>
        <v>30609.77</v>
      </c>
      <c r="L352" s="41">
        <f>L338+L351</f>
        <v>2258172.9900000002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308969.13</v>
      </c>
      <c r="G358" s="18">
        <f>115310.02+1681.63+39500+1920</f>
        <v>158411.65000000002</v>
      </c>
      <c r="H358" s="18">
        <f>5517.8+7019.78+1723.99+3428.8+5338.02+513.56+320+160.63+1456.04</f>
        <v>25478.620000000003</v>
      </c>
      <c r="I358" s="18">
        <f>5385.93+5464.63+3422.67+5820.87+6479.98+52842.55+47026.97+26240.41+44256.91+45335.33+68633.77+1944.63+1135.99+6535.65+55002.58</f>
        <v>375528.87000000005</v>
      </c>
      <c r="J358" s="18">
        <f>21521+16890.02+12490.24</f>
        <v>50901.26</v>
      </c>
      <c r="K358" s="18">
        <v>828.8</v>
      </c>
      <c r="L358" s="13">
        <f>SUM(F358:K358)</f>
        <v>920118.33000000007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173795.14</v>
      </c>
      <c r="G359" s="18">
        <f>64861.89+945.92+22218.75+1080</f>
        <v>89106.559999999998</v>
      </c>
      <c r="H359" s="18">
        <f>11531.37+7355.11+288.88+180+90.35+819.03</f>
        <v>20264.739999999998</v>
      </c>
      <c r="I359" s="18">
        <f>5348.85+7781.97+87172.31+111835.73+2899.63-1480.29+3676.31+30938.95</f>
        <v>248173.46</v>
      </c>
      <c r="J359" s="18">
        <f>750+7025.76</f>
        <v>7775.76</v>
      </c>
      <c r="K359" s="18">
        <v>466.2</v>
      </c>
      <c r="L359" s="19">
        <f>SUM(F359:K359)</f>
        <v>539581.86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482764.27</v>
      </c>
      <c r="G362" s="47">
        <f t="shared" si="22"/>
        <v>247518.21000000002</v>
      </c>
      <c r="H362" s="47">
        <f t="shared" si="22"/>
        <v>45743.360000000001</v>
      </c>
      <c r="I362" s="47">
        <f t="shared" si="22"/>
        <v>623702.33000000007</v>
      </c>
      <c r="J362" s="47">
        <f t="shared" si="22"/>
        <v>58677.020000000004</v>
      </c>
      <c r="K362" s="47">
        <f t="shared" si="22"/>
        <v>1295</v>
      </c>
      <c r="L362" s="47">
        <f t="shared" si="22"/>
        <v>1459700.19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68633.77+45335.33+44256.91+26240.41+47026.97+52842.55+55002.58</f>
        <v>339338.52</v>
      </c>
      <c r="G367" s="18">
        <f>111835.73+87172.31-1480.29+30938.95</f>
        <v>228466.69999999998</v>
      </c>
      <c r="H367" s="18"/>
      <c r="I367" s="56">
        <f>SUM(F367:H367)</f>
        <v>567805.22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1135.99+1944.63+6479.98+5820.87+3422.67+5464.63+5385.93+6535.65</f>
        <v>36190.35</v>
      </c>
      <c r="G368" s="63">
        <f>2899.63+7781.97+5348.85+3676.31</f>
        <v>19706.760000000002</v>
      </c>
      <c r="H368" s="63"/>
      <c r="I368" s="56">
        <f>SUM(F368:H368)</f>
        <v>55897.11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375528.87</v>
      </c>
      <c r="G369" s="47">
        <f>SUM(G367:G368)</f>
        <v>248173.46</v>
      </c>
      <c r="H369" s="47">
        <f>SUM(H367:H368)</f>
        <v>0</v>
      </c>
      <c r="I369" s="47">
        <f>SUM(I367:I368)</f>
        <v>623702.32999999996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>
        <v>2374.6999999999998</v>
      </c>
      <c r="I392" s="18"/>
      <c r="J392" s="24" t="s">
        <v>286</v>
      </c>
      <c r="K392" s="24" t="s">
        <v>286</v>
      </c>
      <c r="L392" s="56">
        <f t="shared" si="25"/>
        <v>2374.6999999999998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2374.6999999999998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2374.6999999999998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2374.6999999999998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2374.6999999999998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186726.94</v>
      </c>
      <c r="G442" s="18"/>
      <c r="H442" s="18"/>
      <c r="I442" s="56">
        <f t="shared" si="33"/>
        <v>186726.94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186726.94</v>
      </c>
      <c r="G446" s="13">
        <f>SUM(G439:G445)</f>
        <v>0</v>
      </c>
      <c r="H446" s="13">
        <f>SUM(H439:H445)</f>
        <v>0</v>
      </c>
      <c r="I446" s="13">
        <f>SUM(I439:I445)</f>
        <v>186726.94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186726.94</v>
      </c>
      <c r="G459" s="18"/>
      <c r="H459" s="18"/>
      <c r="I459" s="56">
        <f t="shared" si="34"/>
        <v>186726.94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186726.94</v>
      </c>
      <c r="G460" s="83">
        <f>SUM(G454:G459)</f>
        <v>0</v>
      </c>
      <c r="H460" s="83">
        <f>SUM(H454:H459)</f>
        <v>0</v>
      </c>
      <c r="I460" s="83">
        <f>SUM(I454:I459)</f>
        <v>186726.94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186726.94</v>
      </c>
      <c r="G461" s="42">
        <f>G452+G460</f>
        <v>0</v>
      </c>
      <c r="H461" s="42">
        <f>H452+H460</f>
        <v>0</v>
      </c>
      <c r="I461" s="42">
        <f>I452+I460</f>
        <v>186726.94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2567053.9700000002</v>
      </c>
      <c r="G465" s="18">
        <v>293858.53999999998</v>
      </c>
      <c r="H465" s="18">
        <f>-87.4</f>
        <v>-87.4</v>
      </c>
      <c r="I465" s="18"/>
      <c r="J465" s="18">
        <v>184352.24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81171937.180000007</v>
      </c>
      <c r="G468" s="18">
        <f>1276992.41+85941.53</f>
        <v>1362933.94</v>
      </c>
      <c r="H468" s="18">
        <f>1861421.84+396751.15</f>
        <v>2258172.9900000002</v>
      </c>
      <c r="I468" s="18"/>
      <c r="J468" s="18">
        <v>2374.6999999999998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81171937.180000007</v>
      </c>
      <c r="G470" s="53">
        <f>SUM(G468:G469)</f>
        <v>1362933.94</v>
      </c>
      <c r="H470" s="53">
        <f>SUM(H468:H469)</f>
        <v>2258172.9900000002</v>
      </c>
      <c r="I470" s="53">
        <f>SUM(I468:I469)</f>
        <v>0</v>
      </c>
      <c r="J470" s="53">
        <f>SUM(J468:J469)</f>
        <v>2374.6999999999998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79885908.319999993</v>
      </c>
      <c r="G472" s="18">
        <f>1373758.66+85941.53</f>
        <v>1459700.19</v>
      </c>
      <c r="H472" s="18">
        <f>2258589.99-417</f>
        <v>2258172.9900000002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79885908.319999993</v>
      </c>
      <c r="G474" s="53">
        <f>SUM(G472:G473)</f>
        <v>1459700.19</v>
      </c>
      <c r="H474" s="53">
        <f>SUM(H472:H473)</f>
        <v>2258172.9900000002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3853082.8300000131</v>
      </c>
      <c r="G476" s="53">
        <f>(G465+G470)- G474</f>
        <v>197092.29000000004</v>
      </c>
      <c r="H476" s="53">
        <f>(H465+H470)- H474</f>
        <v>-87.399999999906868</v>
      </c>
      <c r="I476" s="53">
        <f>(I465+I470)- I474</f>
        <v>0</v>
      </c>
      <c r="J476" s="53">
        <f>(J465+J470)- J474</f>
        <v>186726.94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10</v>
      </c>
      <c r="H490" s="154">
        <v>10</v>
      </c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5" t="s">
        <v>918</v>
      </c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5" t="s">
        <v>917</v>
      </c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23959000</v>
      </c>
      <c r="G493" s="18">
        <v>2355000</v>
      </c>
      <c r="H493" s="18">
        <v>10035480</v>
      </c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3.97</v>
      </c>
      <c r="G494" s="18">
        <v>2.23</v>
      </c>
      <c r="H494" s="18">
        <v>2.42</v>
      </c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9600000-1200000</f>
        <v>8400000</v>
      </c>
      <c r="G495" s="18">
        <f>1325000-270000</f>
        <v>1055000</v>
      </c>
      <c r="H495" s="18">
        <f>916547-86228.77</f>
        <v>830318.23</v>
      </c>
      <c r="I495" s="18"/>
      <c r="J495" s="18"/>
      <c r="K495" s="53">
        <f>SUM(F495:J495)</f>
        <v>10285318.23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1200000</v>
      </c>
      <c r="G497" s="18">
        <v>265000</v>
      </c>
      <c r="H497" s="18">
        <v>211702.38</v>
      </c>
      <c r="I497" s="18"/>
      <c r="J497" s="18"/>
      <c r="K497" s="53">
        <f t="shared" si="35"/>
        <v>1676702.38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8400000-1200000</f>
        <v>7200000</v>
      </c>
      <c r="G498" s="204">
        <v>515000</v>
      </c>
      <c r="H498" s="204">
        <v>9823777.6199999992</v>
      </c>
      <c r="I498" s="204"/>
      <c r="J498" s="204"/>
      <c r="K498" s="205">
        <f t="shared" si="35"/>
        <v>17538777.619999997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904500</v>
      </c>
      <c r="G499" s="18">
        <v>19875</v>
      </c>
      <c r="H499" s="18">
        <v>2193867.5099999998</v>
      </c>
      <c r="I499" s="18"/>
      <c r="J499" s="18"/>
      <c r="K499" s="53">
        <f t="shared" si="35"/>
        <v>3118242.51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8104500</v>
      </c>
      <c r="G500" s="42">
        <f>SUM(G498:G499)</f>
        <v>534875</v>
      </c>
      <c r="H500" s="42">
        <f>SUM(H498:H499)</f>
        <v>12017645.129999999</v>
      </c>
      <c r="I500" s="42">
        <f>SUM(I498:I499)</f>
        <v>0</v>
      </c>
      <c r="J500" s="42">
        <f>SUM(J498:J499)</f>
        <v>0</v>
      </c>
      <c r="K500" s="42">
        <f t="shared" si="35"/>
        <v>20657020.129999999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1200000</v>
      </c>
      <c r="G501" s="204">
        <v>260000</v>
      </c>
      <c r="H501" s="204">
        <v>230492.41</v>
      </c>
      <c r="I501" s="204"/>
      <c r="J501" s="204"/>
      <c r="K501" s="205">
        <f t="shared" si="35"/>
        <v>1690492.41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273000</v>
      </c>
      <c r="G502" s="18">
        <v>14550</v>
      </c>
      <c r="H502" s="18">
        <v>237735.42</v>
      </c>
      <c r="I502" s="18"/>
      <c r="J502" s="18"/>
      <c r="K502" s="53">
        <f t="shared" si="35"/>
        <v>525285.42000000004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1473000</v>
      </c>
      <c r="G503" s="42">
        <f>SUM(G501:G502)</f>
        <v>274550</v>
      </c>
      <c r="H503" s="42">
        <f>SUM(H501:H502)</f>
        <v>468227.83</v>
      </c>
      <c r="I503" s="42">
        <f>SUM(I501:I502)</f>
        <v>0</v>
      </c>
      <c r="J503" s="42">
        <f>SUM(J501:J502)</f>
        <v>0</v>
      </c>
      <c r="K503" s="42">
        <f t="shared" si="35"/>
        <v>2215777.83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4105262.48</f>
        <v>4105262.48</v>
      </c>
      <c r="G521" s="18">
        <f>1850597.14</f>
        <v>1850597.14</v>
      </c>
      <c r="H521" s="18">
        <f>1142150.46</f>
        <v>1142150.46</v>
      </c>
      <c r="I521" s="18">
        <f>7712.64</f>
        <v>7712.64</v>
      </c>
      <c r="J521" s="18">
        <f>2707.52</f>
        <v>2707.52</v>
      </c>
      <c r="K521" s="18">
        <f>1740.09</f>
        <v>1740.09</v>
      </c>
      <c r="L521" s="88">
        <f>SUM(F521:K521)</f>
        <v>7110170.3299999991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1821454.04</f>
        <v>1821454.04</v>
      </c>
      <c r="G522" s="18">
        <f>941206.28</f>
        <v>941206.28</v>
      </c>
      <c r="H522" s="18">
        <f>912768.57</f>
        <v>912768.57</v>
      </c>
      <c r="I522" s="18">
        <f>1609.99</f>
        <v>1609.99</v>
      </c>
      <c r="J522" s="18">
        <f>1320.54</f>
        <v>1320.54</v>
      </c>
      <c r="K522" s="18">
        <f>978.8</f>
        <v>978.8</v>
      </c>
      <c r="L522" s="88">
        <f>SUM(F522:K522)</f>
        <v>3679338.22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f>5651050.62</f>
        <v>5651050.6200000001</v>
      </c>
      <c r="I523" s="18"/>
      <c r="J523" s="18"/>
      <c r="K523" s="18"/>
      <c r="L523" s="88">
        <f>SUM(F523:K523)</f>
        <v>5651050.6200000001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5926716.5199999996</v>
      </c>
      <c r="G524" s="108">
        <f t="shared" ref="G524:L524" si="36">SUM(G521:G523)</f>
        <v>2791803.42</v>
      </c>
      <c r="H524" s="108">
        <f t="shared" si="36"/>
        <v>7705969.6500000004</v>
      </c>
      <c r="I524" s="108">
        <f t="shared" si="36"/>
        <v>9322.630000000001</v>
      </c>
      <c r="J524" s="108">
        <f t="shared" si="36"/>
        <v>4028.06</v>
      </c>
      <c r="K524" s="108">
        <f t="shared" si="36"/>
        <v>2718.89</v>
      </c>
      <c r="L524" s="89">
        <f t="shared" si="36"/>
        <v>16440559.169999998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93568.25</v>
      </c>
      <c r="G526" s="18">
        <v>33585.43</v>
      </c>
      <c r="H526" s="18">
        <v>773508.59</v>
      </c>
      <c r="I526" s="18">
        <v>1188.58</v>
      </c>
      <c r="J526" s="18"/>
      <c r="K526" s="18"/>
      <c r="L526" s="88">
        <f>SUM(F526:K526)</f>
        <v>901850.85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53248.5</v>
      </c>
      <c r="G527" s="18">
        <v>22098.880000000001</v>
      </c>
      <c r="H527" s="18">
        <v>383451.57</v>
      </c>
      <c r="I527" s="18">
        <v>687.4</v>
      </c>
      <c r="J527" s="18"/>
      <c r="K527" s="18"/>
      <c r="L527" s="88">
        <f>SUM(F527:K527)</f>
        <v>459486.35000000003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f>121801.11</f>
        <v>121801.11</v>
      </c>
      <c r="I528" s="18"/>
      <c r="J528" s="18"/>
      <c r="K528" s="18"/>
      <c r="L528" s="88">
        <f>SUM(F528:K528)</f>
        <v>121801.11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146816.75</v>
      </c>
      <c r="G529" s="89">
        <f t="shared" ref="G529:L529" si="37">SUM(G526:G528)</f>
        <v>55684.31</v>
      </c>
      <c r="H529" s="89">
        <f t="shared" si="37"/>
        <v>1278761.27</v>
      </c>
      <c r="I529" s="89">
        <f t="shared" si="37"/>
        <v>1875.98</v>
      </c>
      <c r="J529" s="89">
        <f t="shared" si="37"/>
        <v>0</v>
      </c>
      <c r="K529" s="89">
        <f t="shared" si="37"/>
        <v>0</v>
      </c>
      <c r="L529" s="89">
        <f t="shared" si="37"/>
        <v>1483138.31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340471.32</v>
      </c>
      <c r="G531" s="18">
        <v>287956</v>
      </c>
      <c r="H531" s="18"/>
      <c r="I531" s="18"/>
      <c r="J531" s="18"/>
      <c r="K531" s="18"/>
      <c r="L531" s="88">
        <f>SUM(F531:K531)</f>
        <v>628427.32000000007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191515.11</v>
      </c>
      <c r="G532" s="18">
        <v>130745.56</v>
      </c>
      <c r="H532" s="18"/>
      <c r="I532" s="18"/>
      <c r="J532" s="18"/>
      <c r="K532" s="18"/>
      <c r="L532" s="88">
        <f>SUM(F532:K532)</f>
        <v>322260.67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531986.42999999993</v>
      </c>
      <c r="G534" s="89">
        <f t="shared" ref="G534:L534" si="38">SUM(G531:G533)</f>
        <v>418701.56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950687.99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26345.93</v>
      </c>
      <c r="I536" s="18"/>
      <c r="J536" s="18"/>
      <c r="K536" s="18"/>
      <c r="L536" s="88">
        <f>SUM(F536:K536)</f>
        <v>26345.93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33077.43</v>
      </c>
      <c r="I537" s="18"/>
      <c r="J537" s="18"/>
      <c r="K537" s="18"/>
      <c r="L537" s="88">
        <f>SUM(F537:K537)</f>
        <v>33077.43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8505</v>
      </c>
      <c r="I538" s="18"/>
      <c r="J538" s="18"/>
      <c r="K538" s="18"/>
      <c r="L538" s="88">
        <f>SUM(F538:K538)</f>
        <v>8505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67928.36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67928.36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756587.7</v>
      </c>
      <c r="I541" s="18"/>
      <c r="J541" s="18"/>
      <c r="K541" s="18"/>
      <c r="L541" s="88">
        <f>SUM(F541:K541)</f>
        <v>756587.7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404025.64</v>
      </c>
      <c r="I542" s="18"/>
      <c r="J542" s="18"/>
      <c r="K542" s="18"/>
      <c r="L542" s="88">
        <f>SUM(F542:K542)</f>
        <v>404025.64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163074.79</v>
      </c>
      <c r="I543" s="18"/>
      <c r="J543" s="18"/>
      <c r="K543" s="18"/>
      <c r="L543" s="88">
        <f>SUM(F543:K543)</f>
        <v>163074.79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1323688.1299999999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1323688.1299999999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6605519.6999999993</v>
      </c>
      <c r="G545" s="89">
        <f t="shared" ref="G545:L545" si="41">G524+G529+G534+G539+G544</f>
        <v>3266189.29</v>
      </c>
      <c r="H545" s="89">
        <f t="shared" si="41"/>
        <v>10376347.41</v>
      </c>
      <c r="I545" s="89">
        <f t="shared" si="41"/>
        <v>11198.61</v>
      </c>
      <c r="J545" s="89">
        <f t="shared" si="41"/>
        <v>4028.06</v>
      </c>
      <c r="K545" s="89">
        <f t="shared" si="41"/>
        <v>2718.89</v>
      </c>
      <c r="L545" s="89">
        <f t="shared" si="41"/>
        <v>20266001.959999993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7110170.3299999991</v>
      </c>
      <c r="G549" s="87">
        <f>L526</f>
        <v>901850.85</v>
      </c>
      <c r="H549" s="87">
        <f>L531</f>
        <v>628427.32000000007</v>
      </c>
      <c r="I549" s="87">
        <f>L536</f>
        <v>26345.93</v>
      </c>
      <c r="J549" s="87">
        <f>L541</f>
        <v>756587.7</v>
      </c>
      <c r="K549" s="87">
        <f>SUM(F549:J549)</f>
        <v>9423382.1299999971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3679338.22</v>
      </c>
      <c r="G550" s="87">
        <f>L527</f>
        <v>459486.35000000003</v>
      </c>
      <c r="H550" s="87">
        <f>L532</f>
        <v>322260.67</v>
      </c>
      <c r="I550" s="87">
        <f>L537</f>
        <v>33077.43</v>
      </c>
      <c r="J550" s="87">
        <f>L542</f>
        <v>404025.64</v>
      </c>
      <c r="K550" s="87">
        <f>SUM(F550:J550)</f>
        <v>4898188.3099999996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5651050.6200000001</v>
      </c>
      <c r="G551" s="87">
        <f>L528</f>
        <v>121801.11</v>
      </c>
      <c r="H551" s="87">
        <f>L533</f>
        <v>0</v>
      </c>
      <c r="I551" s="87">
        <f>L538</f>
        <v>8505</v>
      </c>
      <c r="J551" s="87">
        <f>L543</f>
        <v>163074.79</v>
      </c>
      <c r="K551" s="87">
        <f>SUM(F551:J551)</f>
        <v>5944431.5200000005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16440559.169999998</v>
      </c>
      <c r="G552" s="89">
        <f t="shared" si="42"/>
        <v>1483138.31</v>
      </c>
      <c r="H552" s="89">
        <f t="shared" si="42"/>
        <v>950687.99</v>
      </c>
      <c r="I552" s="89">
        <f t="shared" si="42"/>
        <v>67928.36</v>
      </c>
      <c r="J552" s="89">
        <f t="shared" si="42"/>
        <v>1323688.1299999999</v>
      </c>
      <c r="K552" s="89">
        <f t="shared" si="42"/>
        <v>20266001.959999997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150053.25</v>
      </c>
      <c r="G562" s="18">
        <v>49582</v>
      </c>
      <c r="H562" s="18"/>
      <c r="I562" s="18">
        <v>957.21</v>
      </c>
      <c r="J562" s="18"/>
      <c r="K562" s="18"/>
      <c r="L562" s="88">
        <f>SUM(F562:K562)</f>
        <v>200592.46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86715.11</v>
      </c>
      <c r="G563" s="18">
        <v>31127.919999999998</v>
      </c>
      <c r="H563" s="18"/>
      <c r="I563" s="18"/>
      <c r="J563" s="18"/>
      <c r="K563" s="18"/>
      <c r="L563" s="88">
        <f>SUM(F563:K563)</f>
        <v>117843.03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236768.36</v>
      </c>
      <c r="G565" s="89">
        <f t="shared" si="44"/>
        <v>80709.919999999998</v>
      </c>
      <c r="H565" s="89">
        <f t="shared" si="44"/>
        <v>0</v>
      </c>
      <c r="I565" s="89">
        <f t="shared" si="44"/>
        <v>957.21</v>
      </c>
      <c r="J565" s="89">
        <f t="shared" si="44"/>
        <v>0</v>
      </c>
      <c r="K565" s="89">
        <f t="shared" si="44"/>
        <v>0</v>
      </c>
      <c r="L565" s="89">
        <f t="shared" si="44"/>
        <v>318435.49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376095.65</v>
      </c>
      <c r="G567" s="18">
        <v>146524</v>
      </c>
      <c r="H567" s="18">
        <v>750</v>
      </c>
      <c r="I567" s="18">
        <v>1526.48</v>
      </c>
      <c r="J567" s="18"/>
      <c r="K567" s="18"/>
      <c r="L567" s="88">
        <f>SUM(F567:K567)</f>
        <v>524896.13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264503</v>
      </c>
      <c r="G568" s="18">
        <v>135779.5</v>
      </c>
      <c r="H568" s="18">
        <v>458</v>
      </c>
      <c r="I568" s="18">
        <v>1017.66</v>
      </c>
      <c r="J568" s="18"/>
      <c r="K568" s="18"/>
      <c r="L568" s="88">
        <f>SUM(F568:K568)</f>
        <v>401758.16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640598.65</v>
      </c>
      <c r="G570" s="193">
        <f t="shared" ref="G570:L570" si="45">SUM(G567:G569)</f>
        <v>282303.5</v>
      </c>
      <c r="H570" s="193">
        <f t="shared" si="45"/>
        <v>1208</v>
      </c>
      <c r="I570" s="193">
        <f t="shared" si="45"/>
        <v>2544.14</v>
      </c>
      <c r="J570" s="193">
        <f t="shared" si="45"/>
        <v>0</v>
      </c>
      <c r="K570" s="193">
        <f t="shared" si="45"/>
        <v>0</v>
      </c>
      <c r="L570" s="193">
        <f t="shared" si="45"/>
        <v>926654.29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877367.01</v>
      </c>
      <c r="G571" s="89">
        <f t="shared" ref="G571:L571" si="46">G560+G565+G570</f>
        <v>363013.42</v>
      </c>
      <c r="H571" s="89">
        <f t="shared" si="46"/>
        <v>1208</v>
      </c>
      <c r="I571" s="89">
        <f t="shared" si="46"/>
        <v>3501.35</v>
      </c>
      <c r="J571" s="89">
        <f t="shared" si="46"/>
        <v>0</v>
      </c>
      <c r="K571" s="89">
        <f t="shared" si="46"/>
        <v>0</v>
      </c>
      <c r="L571" s="89">
        <f t="shared" si="46"/>
        <v>1245089.78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20250910.57</v>
      </c>
      <c r="I577" s="87">
        <f t="shared" si="47"/>
        <v>20250910.57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4507631.62</v>
      </c>
      <c r="I581" s="87">
        <f t="shared" si="47"/>
        <v>4507631.62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550221.75</v>
      </c>
      <c r="G582" s="18">
        <v>911155.45</v>
      </c>
      <c r="H582" s="18">
        <v>1143419</v>
      </c>
      <c r="I582" s="87">
        <f t="shared" si="47"/>
        <v>2604796.2000000002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849015+38700.21</f>
        <v>887715.21</v>
      </c>
      <c r="I591" s="18">
        <f>452808+21768.87</f>
        <v>474576.87</v>
      </c>
      <c r="J591" s="18">
        <v>679212</v>
      </c>
      <c r="K591" s="104">
        <f t="shared" ref="K591:K597" si="48">SUM(H591:J591)</f>
        <v>2041504.08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f>174519.95+65091.6+44692.35+384328.13+47092.6+40863.06</f>
        <v>756587.69</v>
      </c>
      <c r="I592" s="18">
        <f>136212.05+26489.58+216184.57+25139.45</f>
        <v>404025.65</v>
      </c>
      <c r="J592" s="18">
        <f>141739.21+21335.58</f>
        <v>163074.78999999998</v>
      </c>
      <c r="K592" s="104">
        <f t="shared" si="48"/>
        <v>1323688.1299999999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f>15732.56+14022.77</f>
        <v>29755.33</v>
      </c>
      <c r="J594" s="18"/>
      <c r="K594" s="104">
        <f t="shared" si="48"/>
        <v>29755.33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8683.42</v>
      </c>
      <c r="I595" s="18">
        <v>4884.43</v>
      </c>
      <c r="J595" s="18"/>
      <c r="K595" s="104">
        <f t="shared" si="48"/>
        <v>13567.85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1652986.3199999998</v>
      </c>
      <c r="I598" s="108">
        <f>SUM(I591:I597)</f>
        <v>913242.28</v>
      </c>
      <c r="J598" s="108">
        <f>SUM(J591:J597)</f>
        <v>842286.79</v>
      </c>
      <c r="K598" s="108">
        <f>SUM(K591:K597)</f>
        <v>3408515.39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40018.26+29592.1+1429.75</f>
        <v>71040.11</v>
      </c>
      <c r="I604" s="18">
        <f>25609.51+804.23</f>
        <v>26413.739999999998</v>
      </c>
      <c r="J604" s="18">
        <v>824.75</v>
      </c>
      <c r="K604" s="104">
        <f>SUM(H604:J604)</f>
        <v>98278.6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71040.11</v>
      </c>
      <c r="I605" s="108">
        <f>SUM(I602:I604)</f>
        <v>26413.739999999998</v>
      </c>
      <c r="J605" s="108">
        <f>SUM(J602:J604)</f>
        <v>824.75</v>
      </c>
      <c r="K605" s="108">
        <f>SUM(K602:K604)</f>
        <v>98278.6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4577483.8600000003</v>
      </c>
      <c r="H617" s="109">
        <f>SUM(F52)</f>
        <v>4577483.8600000003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233267.83000000002</v>
      </c>
      <c r="H618" s="109">
        <f>SUM(G52)</f>
        <v>233267.83000000005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397168.15</v>
      </c>
      <c r="H619" s="109">
        <f>SUM(H52)</f>
        <v>397168.14999999997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186726.94</v>
      </c>
      <c r="H621" s="109">
        <f>SUM(J52)</f>
        <v>186726.94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3853082.83</v>
      </c>
      <c r="H622" s="109">
        <f>F476</f>
        <v>3853082.8300000131</v>
      </c>
      <c r="I622" s="121" t="s">
        <v>101</v>
      </c>
      <c r="J622" s="109">
        <f t="shared" ref="J622:J655" si="50">G622-H622</f>
        <v>-1.3038516044616699E-8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197092.29000000004</v>
      </c>
      <c r="H623" s="109">
        <f>G476</f>
        <v>197092.29000000004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-87.4</v>
      </c>
      <c r="H624" s="109">
        <f>H476</f>
        <v>-87.399999999906868</v>
      </c>
      <c r="I624" s="121" t="s">
        <v>103</v>
      </c>
      <c r="J624" s="109">
        <f t="shared" si="50"/>
        <v>-9.3137941803433932E-11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186726.94</v>
      </c>
      <c r="H626" s="109">
        <f>J476</f>
        <v>186726.94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81171937.179999992</v>
      </c>
      <c r="H627" s="104">
        <f>SUM(F468)</f>
        <v>81171937.180000007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1362933.94</v>
      </c>
      <c r="H628" s="104">
        <f>SUM(G468)</f>
        <v>1362933.94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2258172.9900000002</v>
      </c>
      <c r="H629" s="104">
        <f>SUM(H468)</f>
        <v>2258172.9900000002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2374.6999999999998</v>
      </c>
      <c r="H631" s="104">
        <f>SUM(J468)</f>
        <v>2374.6999999999998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79885908.319999993</v>
      </c>
      <c r="H632" s="104">
        <f>SUM(F472)</f>
        <v>79885908.319999993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2258172.9900000002</v>
      </c>
      <c r="H633" s="104">
        <f>SUM(H472)</f>
        <v>2258172.9900000002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623702.33000000007</v>
      </c>
      <c r="H634" s="104">
        <f>I369</f>
        <v>623702.32999999996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1459700.19</v>
      </c>
      <c r="H635" s="104">
        <f>SUM(G472)</f>
        <v>1459700.19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2374.6999999999998</v>
      </c>
      <c r="H637" s="164">
        <f>SUM(J468)</f>
        <v>2374.6999999999998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186726.94</v>
      </c>
      <c r="H639" s="104">
        <f>SUM(F461)</f>
        <v>186726.94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186726.94</v>
      </c>
      <c r="H642" s="104">
        <f>SUM(I461)</f>
        <v>186726.94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2374.6999999999998</v>
      </c>
      <c r="H644" s="104">
        <f>H408</f>
        <v>2374.6999999999998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2374.6999999999998</v>
      </c>
      <c r="H646" s="104">
        <f>L408</f>
        <v>2374.6999999999998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3408515.39</v>
      </c>
      <c r="H647" s="104">
        <f>L208+L226+L244</f>
        <v>3408515.39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98278.6</v>
      </c>
      <c r="H648" s="104">
        <f>(J257+J338)-(J255+J336)</f>
        <v>98278.6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1652986.32</v>
      </c>
      <c r="H649" s="104">
        <f>H598</f>
        <v>1652986.3199999998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913242.28</v>
      </c>
      <c r="H650" s="104">
        <f>I598</f>
        <v>913242.28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842286.78999999992</v>
      </c>
      <c r="H651" s="104">
        <f>J598</f>
        <v>842286.79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34999638.949999996</v>
      </c>
      <c r="G660" s="19">
        <f>(L229+L309+L359)</f>
        <v>18927455.039999999</v>
      </c>
      <c r="H660" s="19">
        <f>(L247+L328+L360)</f>
        <v>26896457.600000001</v>
      </c>
      <c r="I660" s="19">
        <f>SUM(F660:H660)</f>
        <v>80823551.590000004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538269.67617528292</v>
      </c>
      <c r="G661" s="19">
        <f>(L359/IF(SUM(L358:L360)=0,1,SUM(L358:L360))*(SUM(G97:G110)))</f>
        <v>315655.6538247171</v>
      </c>
      <c r="H661" s="19">
        <f>(L360/IF(SUM(L358:L360)=0,1,SUM(L358:L360))*(SUM(G97:G110)))</f>
        <v>0</v>
      </c>
      <c r="I661" s="19">
        <f>SUM(F661:H661)</f>
        <v>853925.33000000007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1652986.32</v>
      </c>
      <c r="G662" s="19">
        <f>(L226+L306)-(J226+J306)</f>
        <v>913242.28</v>
      </c>
      <c r="H662" s="19">
        <f>(L244+L325)-(J244+J325)</f>
        <v>842286.78999999992</v>
      </c>
      <c r="I662" s="19">
        <f>SUM(F662:H662)</f>
        <v>3408515.39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621261.86</v>
      </c>
      <c r="G663" s="199">
        <f>SUM(G575:G587)+SUM(I602:I604)+L612</f>
        <v>937569.19</v>
      </c>
      <c r="H663" s="199">
        <f>SUM(H575:H587)+SUM(J602:J604)+L613</f>
        <v>25902785.940000001</v>
      </c>
      <c r="I663" s="19">
        <f>SUM(F663:H663)</f>
        <v>27461616.990000002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32187121.093824714</v>
      </c>
      <c r="G664" s="19">
        <f>G660-SUM(G661:G663)</f>
        <v>16760987.916175282</v>
      </c>
      <c r="H664" s="19">
        <f>H660-SUM(H661:H663)</f>
        <v>151384.87000000104</v>
      </c>
      <c r="I664" s="19">
        <f>I660-SUM(I661:I663)</f>
        <v>49099493.880000003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2084.31</v>
      </c>
      <c r="G665" s="248">
        <v>1175.8</v>
      </c>
      <c r="H665" s="248"/>
      <c r="I665" s="19">
        <f>SUM(F665:H665)</f>
        <v>3260.1099999999997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15442.58</v>
      </c>
      <c r="G667" s="19">
        <f>ROUND(G664/G665,2)</f>
        <v>14254.97</v>
      </c>
      <c r="H667" s="19" t="e">
        <f>ROUND(H664/H665,2)</f>
        <v>#DIV/0!</v>
      </c>
      <c r="I667" s="19">
        <f>ROUND(I664/I665,2)</f>
        <v>15060.69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-151384.87</v>
      </c>
      <c r="I669" s="19">
        <f>SUM(F669:H669)</f>
        <v>-151384.87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15442.58</v>
      </c>
      <c r="G672" s="19">
        <f>ROUND((G664+G669)/(G665+G670),2)</f>
        <v>14254.97</v>
      </c>
      <c r="H672" s="19" t="e">
        <f>ROUND((H664+H669)/(H665+H670),2)</f>
        <v>#DIV/0!</v>
      </c>
      <c r="I672" s="19">
        <f>ROUND((I664+I669)/(I665+I670),2)</f>
        <v>15014.25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6"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DERRY COOPERATIVE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13283926.340000002</v>
      </c>
      <c r="C9" s="229">
        <f>'DOE25'!G197+'DOE25'!G215+'DOE25'!G233+'DOE25'!G276+'DOE25'!G295+'DOE25'!G314</f>
        <v>7428043.330000001</v>
      </c>
    </row>
    <row r="10" spans="1:3" x14ac:dyDescent="0.2">
      <c r="A10" t="s">
        <v>773</v>
      </c>
      <c r="B10" s="240">
        <f>8112717.88+4623436.15+512704.89+35067.42</f>
        <v>13283926.340000002</v>
      </c>
      <c r="C10" s="240">
        <f>9463.94+186809.79+4576297.21+2655472.39</f>
        <v>7428043.3300000001</v>
      </c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13283926.340000002</v>
      </c>
      <c r="C13" s="231">
        <f>SUM(C10:C12)</f>
        <v>7428043.3300000001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6411226.7599999998</v>
      </c>
      <c r="C18" s="229">
        <f>'DOE25'!G198+'DOE25'!G216+'DOE25'!G234+'DOE25'!G277+'DOE25'!G296+'DOE25'!G315</f>
        <v>2891992.12</v>
      </c>
    </row>
    <row r="19" spans="1:3" x14ac:dyDescent="0.2">
      <c r="A19" t="s">
        <v>773</v>
      </c>
      <c r="B19" s="240">
        <f>4105262.48+1821454.04+310086.55+174423.69</f>
        <v>6411226.7599999998</v>
      </c>
      <c r="C19" s="240">
        <f>941206.28+1850597.14+64120.77+36067.93</f>
        <v>2891992.12</v>
      </c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6411226.7599999998</v>
      </c>
      <c r="C22" s="231">
        <f>SUM(C19:C21)</f>
        <v>2891992.12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224327.39</v>
      </c>
      <c r="C36" s="235">
        <f>'DOE25'!G200+'DOE25'!G218+'DOE25'!G236+'DOE25'!G279+'DOE25'!G298+'DOE25'!G317</f>
        <v>44889.33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f>67576.25+156751.14</f>
        <v>224327.39</v>
      </c>
      <c r="C39" s="240">
        <f>30600.19+14289.14</f>
        <v>44889.33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224327.39</v>
      </c>
      <c r="C40" s="231">
        <f>SUM(C37:C39)</f>
        <v>44889.33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DERRY COOPERATIVE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57233919.200000003</v>
      </c>
      <c r="D5" s="20">
        <f>SUM('DOE25'!L197:L200)+SUM('DOE25'!L215:L218)+SUM('DOE25'!L233:L236)-F5-G5</f>
        <v>57206343.420000002</v>
      </c>
      <c r="E5" s="243"/>
      <c r="F5" s="255">
        <f>SUM('DOE25'!J197:J200)+SUM('DOE25'!J215:J218)+SUM('DOE25'!J233:J236)</f>
        <v>22056.89</v>
      </c>
      <c r="G5" s="53">
        <f>SUM('DOE25'!K197:K200)+SUM('DOE25'!K215:K218)+SUM('DOE25'!K233:K236)</f>
        <v>5518.89</v>
      </c>
      <c r="H5" s="259"/>
    </row>
    <row r="6" spans="1:9" x14ac:dyDescent="0.2">
      <c r="A6" s="32">
        <v>2100</v>
      </c>
      <c r="B6" t="s">
        <v>795</v>
      </c>
      <c r="C6" s="245">
        <f t="shared" si="0"/>
        <v>6250287.71</v>
      </c>
      <c r="D6" s="20">
        <f>'DOE25'!L202+'DOE25'!L220+'DOE25'!L238-F6-G6</f>
        <v>6250287.71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1611004.5700000003</v>
      </c>
      <c r="D7" s="20">
        <f>'DOE25'!L203+'DOE25'!L221+'DOE25'!L239-F7-G7</f>
        <v>1571521.9500000002</v>
      </c>
      <c r="E7" s="243"/>
      <c r="F7" s="255">
        <f>'DOE25'!J203+'DOE25'!J221+'DOE25'!J239</f>
        <v>38945.619999999995</v>
      </c>
      <c r="G7" s="53">
        <f>'DOE25'!K203+'DOE25'!K221+'DOE25'!K239</f>
        <v>537</v>
      </c>
      <c r="H7" s="259"/>
    </row>
    <row r="8" spans="1:9" x14ac:dyDescent="0.2">
      <c r="A8" s="32">
        <v>2300</v>
      </c>
      <c r="B8" t="s">
        <v>796</v>
      </c>
      <c r="C8" s="245">
        <f t="shared" si="0"/>
        <v>597238.24999999988</v>
      </c>
      <c r="D8" s="243"/>
      <c r="E8" s="20">
        <f>'DOE25'!L204+'DOE25'!L222+'DOE25'!L240-F8-G8-D9-D11</f>
        <v>583042.75999999989</v>
      </c>
      <c r="F8" s="255">
        <f>'DOE25'!J204+'DOE25'!J222+'DOE25'!J240</f>
        <v>0</v>
      </c>
      <c r="G8" s="53">
        <f>'DOE25'!K204+'DOE25'!K222+'DOE25'!K240</f>
        <v>14195.490000000002</v>
      </c>
      <c r="H8" s="259"/>
    </row>
    <row r="9" spans="1:9" x14ac:dyDescent="0.2">
      <c r="A9" s="32">
        <v>2310</v>
      </c>
      <c r="B9" t="s">
        <v>812</v>
      </c>
      <c r="C9" s="245">
        <f t="shared" si="0"/>
        <v>23010.16</v>
      </c>
      <c r="D9" s="244">
        <v>23010.16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33350</v>
      </c>
      <c r="D10" s="243"/>
      <c r="E10" s="244">
        <v>33350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385450.5</v>
      </c>
      <c r="D11" s="244">
        <v>385450.5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3366075.1799999997</v>
      </c>
      <c r="D12" s="20">
        <f>'DOE25'!L205+'DOE25'!L223+'DOE25'!L241-F12-G12</f>
        <v>3347970.42</v>
      </c>
      <c r="E12" s="243"/>
      <c r="F12" s="255">
        <f>'DOE25'!J205+'DOE25'!J223+'DOE25'!J241</f>
        <v>4625.26</v>
      </c>
      <c r="G12" s="53">
        <f>'DOE25'!K205+'DOE25'!K223+'DOE25'!K241</f>
        <v>13479.5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508739.44000000006</v>
      </c>
      <c r="D13" s="243"/>
      <c r="E13" s="20">
        <f>'DOE25'!L206+'DOE25'!L224+'DOE25'!L242-F13-G13</f>
        <v>504764.58000000007</v>
      </c>
      <c r="F13" s="255">
        <f>'DOE25'!J206+'DOE25'!J224+'DOE25'!J242</f>
        <v>0</v>
      </c>
      <c r="G13" s="53">
        <f>'DOE25'!K206+'DOE25'!K224+'DOE25'!K242</f>
        <v>3974.86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3686838.05</v>
      </c>
      <c r="D14" s="20">
        <f>'DOE25'!L207+'DOE25'!L225+'DOE25'!L243-F14-G14</f>
        <v>3686838.05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3408515.39</v>
      </c>
      <c r="D15" s="20">
        <f>'DOE25'!L208+'DOE25'!L226+'DOE25'!L244-F15-G15</f>
        <v>3408515.39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118767.64</v>
      </c>
      <c r="D16" s="243"/>
      <c r="E16" s="20">
        <f>'DOE25'!L209+'DOE25'!L227+'DOE25'!L245-F16-G16</f>
        <v>118767.64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82928.989999999991</v>
      </c>
      <c r="D17" s="20">
        <f>'DOE25'!L251-F17-G17</f>
        <v>82928.989999999991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2264311</v>
      </c>
      <c r="D25" s="243"/>
      <c r="E25" s="243"/>
      <c r="F25" s="258"/>
      <c r="G25" s="256"/>
      <c r="H25" s="257">
        <f>'DOE25'!L260+'DOE25'!L261+'DOE25'!L341+'DOE25'!L342</f>
        <v>2264311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891894.97</v>
      </c>
      <c r="D29" s="20">
        <f>'DOE25'!L358+'DOE25'!L359+'DOE25'!L360-'DOE25'!I367-F29-G29</f>
        <v>831922.95</v>
      </c>
      <c r="E29" s="243"/>
      <c r="F29" s="255">
        <f>'DOE25'!J358+'DOE25'!J359+'DOE25'!J360</f>
        <v>58677.020000000004</v>
      </c>
      <c r="G29" s="53">
        <f>'DOE25'!K358+'DOE25'!K359+'DOE25'!K360</f>
        <v>1295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2258172.9900000002</v>
      </c>
      <c r="D31" s="20">
        <f>'DOE25'!L290+'DOE25'!L309+'DOE25'!L328+'DOE25'!L333+'DOE25'!L334+'DOE25'!L335-F31-G31</f>
        <v>2194912.39</v>
      </c>
      <c r="E31" s="243"/>
      <c r="F31" s="255">
        <f>'DOE25'!J290+'DOE25'!J309+'DOE25'!J328+'DOE25'!J333+'DOE25'!J334+'DOE25'!J335</f>
        <v>32650.829999999998</v>
      </c>
      <c r="G31" s="53">
        <f>'DOE25'!K290+'DOE25'!K309+'DOE25'!K328+'DOE25'!K333+'DOE25'!K334+'DOE25'!K335</f>
        <v>30609.77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78989701.929999992</v>
      </c>
      <c r="E33" s="246">
        <f>SUM(E5:E31)</f>
        <v>1239924.9799999997</v>
      </c>
      <c r="F33" s="246">
        <f>SUM(F5:F31)</f>
        <v>156955.62</v>
      </c>
      <c r="G33" s="246">
        <f>SUM(G5:G31)</f>
        <v>69610.510000000009</v>
      </c>
      <c r="H33" s="246">
        <f>SUM(H5:H31)</f>
        <v>2264311</v>
      </c>
    </row>
    <row r="35" spans="2:8" ht="12" thickBot="1" x14ac:dyDescent="0.25">
      <c r="B35" s="253" t="s">
        <v>841</v>
      </c>
      <c r="D35" s="254">
        <f>E33</f>
        <v>1239924.9799999997</v>
      </c>
      <c r="E35" s="249"/>
    </row>
    <row r="36" spans="2:8" ht="12" thickTop="1" x14ac:dyDescent="0.2">
      <c r="B36" t="s">
        <v>809</v>
      </c>
      <c r="D36" s="20">
        <f>D33</f>
        <v>78989701.929999992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00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4029734.34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280683.45</v>
      </c>
      <c r="D11" s="95">
        <f>'DOE25'!G12</f>
        <v>145903.42000000001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81051.149999999994</v>
      </c>
      <c r="D12" s="95">
        <f>'DOE25'!G13</f>
        <v>0</v>
      </c>
      <c r="E12" s="95">
        <f>'DOE25'!H13</f>
        <v>396751.15</v>
      </c>
      <c r="F12" s="95">
        <f>'DOE25'!I13</f>
        <v>0</v>
      </c>
      <c r="G12" s="95">
        <f>'DOE25'!J13</f>
        <v>186726.94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145695.09</v>
      </c>
      <c r="D13" s="95">
        <f>'DOE25'!G14</f>
        <v>0</v>
      </c>
      <c r="E13" s="95">
        <f>'DOE25'!H14</f>
        <v>417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40319.83</v>
      </c>
      <c r="D15" s="95">
        <f>'DOE25'!G16</f>
        <v>86439.409999999989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4577483.8600000003</v>
      </c>
      <c r="D18" s="41">
        <f>SUM(D8:D17)</f>
        <v>233267.83000000002</v>
      </c>
      <c r="E18" s="41">
        <f>SUM(E8:E17)</f>
        <v>397168.15</v>
      </c>
      <c r="F18" s="41">
        <f>SUM(F8:F17)</f>
        <v>0</v>
      </c>
      <c r="G18" s="41">
        <f>SUM(G8:G17)</f>
        <v>186726.94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397255.55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65330.080000000002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612950.54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46120.41</v>
      </c>
      <c r="D29" s="95">
        <f>'DOE25'!G30</f>
        <v>36175.54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724401.03</v>
      </c>
      <c r="D31" s="41">
        <f>SUM(D21:D30)</f>
        <v>36175.54</v>
      </c>
      <c r="E31" s="41">
        <f>SUM(E21:E30)</f>
        <v>397255.55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40319.83</v>
      </c>
      <c r="D34" s="95">
        <f>'DOE25'!G35</f>
        <v>86439.41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110652.88000000002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430000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-87.4</v>
      </c>
      <c r="F47" s="95">
        <f>'DOE25'!I48</f>
        <v>0</v>
      </c>
      <c r="G47" s="95">
        <f>'DOE25'!J48</f>
        <v>186726.94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894704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2488059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3853082.83</v>
      </c>
      <c r="D50" s="41">
        <f>SUM(D34:D49)</f>
        <v>197092.29000000004</v>
      </c>
      <c r="E50" s="41">
        <f>SUM(E34:E49)</f>
        <v>-87.4</v>
      </c>
      <c r="F50" s="41">
        <f>SUM(F34:F49)</f>
        <v>0</v>
      </c>
      <c r="G50" s="41">
        <f>SUM(G34:G49)</f>
        <v>186726.94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4577483.8600000003</v>
      </c>
      <c r="D51" s="41">
        <f>D50+D31</f>
        <v>233267.83000000005</v>
      </c>
      <c r="E51" s="41">
        <f>E50+E31</f>
        <v>397168.14999999997</v>
      </c>
      <c r="F51" s="41">
        <f>F50+F31</f>
        <v>0</v>
      </c>
      <c r="G51" s="41">
        <f>G50+G31</f>
        <v>186726.94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48169063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672117.78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25431.599999999999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2374.6999999999998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852925.33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464598.81000000006</v>
      </c>
      <c r="D61" s="95">
        <f>SUM('DOE25'!G98:G110)</f>
        <v>1000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1162148.19</v>
      </c>
      <c r="D62" s="130">
        <f>SUM(D57:D61)</f>
        <v>853925.33</v>
      </c>
      <c r="E62" s="130">
        <f>SUM(E57:E61)</f>
        <v>0</v>
      </c>
      <c r="F62" s="130">
        <f>SUM(F57:F61)</f>
        <v>0</v>
      </c>
      <c r="G62" s="130">
        <f>SUM(G57:G61)</f>
        <v>2374.6999999999998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49331211.189999998</v>
      </c>
      <c r="D63" s="22">
        <f>D56+D62</f>
        <v>853925.33</v>
      </c>
      <c r="E63" s="22">
        <f>E56+E62</f>
        <v>0</v>
      </c>
      <c r="F63" s="22">
        <f>F56+F62</f>
        <v>0</v>
      </c>
      <c r="G63" s="22">
        <f>G56+G62</f>
        <v>2374.6999999999998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23879959.539999999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6183365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96599.74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30159924.279999997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564659.07999999996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831989.61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20951.95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1396648.69</v>
      </c>
      <c r="D78" s="130">
        <f>SUM(D72:D77)</f>
        <v>20951.95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31556572.969999999</v>
      </c>
      <c r="D81" s="130">
        <f>SUM(D79:D80)+D78+D70</f>
        <v>20951.95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284153.02</v>
      </c>
      <c r="D88" s="95">
        <f>SUM('DOE25'!G153:G161)</f>
        <v>488056.66</v>
      </c>
      <c r="E88" s="95">
        <f>SUM('DOE25'!H153:H161)</f>
        <v>2258172.9900000002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284153.02</v>
      </c>
      <c r="D91" s="131">
        <f>SUM(D85:D90)</f>
        <v>488056.66</v>
      </c>
      <c r="E91" s="131">
        <f>SUM(E85:E90)</f>
        <v>2258172.9900000002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81171937.179999992</v>
      </c>
      <c r="D104" s="86">
        <f>D63+D81+D91+D103</f>
        <v>1362933.94</v>
      </c>
      <c r="E104" s="86">
        <f>E63+E81+E91+E103</f>
        <v>2258172.9900000002</v>
      </c>
      <c r="F104" s="86">
        <f>F63+F81+F91+F103</f>
        <v>0</v>
      </c>
      <c r="G104" s="86">
        <f>G63+G81+G103</f>
        <v>2374.6999999999998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40298036.180000007</v>
      </c>
      <c r="D109" s="24" t="s">
        <v>286</v>
      </c>
      <c r="E109" s="95">
        <f>('DOE25'!L276)+('DOE25'!L295)+('DOE25'!L314)</f>
        <v>861079.61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16440558.27</v>
      </c>
      <c r="D110" s="24" t="s">
        <v>286</v>
      </c>
      <c r="E110" s="95">
        <f>('DOE25'!L277)+('DOE25'!L296)+('DOE25'!L315)</f>
        <v>584698.93999999994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495324.75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82928.989999999991</v>
      </c>
      <c r="D114" s="24" t="s">
        <v>286</v>
      </c>
      <c r="E114" s="95">
        <f>+ SUM('DOE25'!L333:L335)</f>
        <v>84167.679999999978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57316848.190000005</v>
      </c>
      <c r="D115" s="86">
        <f>SUM(D109:D114)</f>
        <v>0</v>
      </c>
      <c r="E115" s="86">
        <f>SUM(E109:E114)</f>
        <v>1529946.2299999997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6250287.71</v>
      </c>
      <c r="D118" s="24" t="s">
        <v>286</v>
      </c>
      <c r="E118" s="95">
        <f>+('DOE25'!L281)+('DOE25'!L300)+('DOE25'!L319)</f>
        <v>620445.1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1611004.57</v>
      </c>
      <c r="D119" s="24" t="s">
        <v>286</v>
      </c>
      <c r="E119" s="95">
        <f>+('DOE25'!L282)+('DOE25'!L301)+('DOE25'!L320)</f>
        <v>107781.66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1005698.9099999999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3366075.1799999997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508739.44000000006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3686838.05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3408515.39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118767.64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1459700.19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19955926.890000001</v>
      </c>
      <c r="D128" s="86">
        <f>SUM(D118:D127)</f>
        <v>1459700.19</v>
      </c>
      <c r="E128" s="86">
        <f>SUM(E118:E127)</f>
        <v>728226.76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1676702.38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587608.62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2374.6999999999998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-2374.6999999999998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348822.24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2613133.2400000002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79885908.320000008</v>
      </c>
      <c r="D145" s="86">
        <f>(D115+D128+D144)</f>
        <v>1459700.19</v>
      </c>
      <c r="E145" s="86">
        <f>(E115+E128+E144)</f>
        <v>2258172.9899999998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10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07/03</v>
      </c>
      <c r="C152" s="152" t="str">
        <f>'DOE25'!G491</f>
        <v>01/11</v>
      </c>
      <c r="D152" s="152" t="str">
        <f>'DOE25'!H491</f>
        <v>9/17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07/23</v>
      </c>
      <c r="C153" s="152" t="str">
        <f>'DOE25'!G492</f>
        <v>07/19</v>
      </c>
      <c r="D153" s="152" t="str">
        <f>'DOE25'!H492</f>
        <v>07/25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23959000</v>
      </c>
      <c r="C154" s="137">
        <f>'DOE25'!G493</f>
        <v>2355000</v>
      </c>
      <c r="D154" s="137">
        <f>'DOE25'!H493</f>
        <v>10035480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3.97</v>
      </c>
      <c r="C155" s="137">
        <f>'DOE25'!G494</f>
        <v>2.23</v>
      </c>
      <c r="D155" s="137">
        <f>'DOE25'!H494</f>
        <v>2.42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8400000</v>
      </c>
      <c r="C156" s="137">
        <f>'DOE25'!G495</f>
        <v>1055000</v>
      </c>
      <c r="D156" s="137">
        <f>'DOE25'!H495</f>
        <v>830318.23</v>
      </c>
      <c r="E156" s="137">
        <f>'DOE25'!I495</f>
        <v>0</v>
      </c>
      <c r="F156" s="137">
        <f>'DOE25'!J495</f>
        <v>0</v>
      </c>
      <c r="G156" s="138">
        <f>SUM(B156:F156)</f>
        <v>10285318.23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1200000</v>
      </c>
      <c r="C158" s="137">
        <f>'DOE25'!G497</f>
        <v>265000</v>
      </c>
      <c r="D158" s="137">
        <f>'DOE25'!H497</f>
        <v>211702.38</v>
      </c>
      <c r="E158" s="137">
        <f>'DOE25'!I497</f>
        <v>0</v>
      </c>
      <c r="F158" s="137">
        <f>'DOE25'!J497</f>
        <v>0</v>
      </c>
      <c r="G158" s="138">
        <f t="shared" si="0"/>
        <v>1676702.38</v>
      </c>
    </row>
    <row r="159" spans="1:9" x14ac:dyDescent="0.2">
      <c r="A159" s="22" t="s">
        <v>35</v>
      </c>
      <c r="B159" s="137">
        <f>'DOE25'!F498</f>
        <v>7200000</v>
      </c>
      <c r="C159" s="137">
        <f>'DOE25'!G498</f>
        <v>515000</v>
      </c>
      <c r="D159" s="137">
        <f>'DOE25'!H498</f>
        <v>9823777.6199999992</v>
      </c>
      <c r="E159" s="137">
        <f>'DOE25'!I498</f>
        <v>0</v>
      </c>
      <c r="F159" s="137">
        <f>'DOE25'!J498</f>
        <v>0</v>
      </c>
      <c r="G159" s="138">
        <f t="shared" si="0"/>
        <v>17538777.619999997</v>
      </c>
    </row>
    <row r="160" spans="1:9" x14ac:dyDescent="0.2">
      <c r="A160" s="22" t="s">
        <v>36</v>
      </c>
      <c r="B160" s="137">
        <f>'DOE25'!F499</f>
        <v>904500</v>
      </c>
      <c r="C160" s="137">
        <f>'DOE25'!G499</f>
        <v>19875</v>
      </c>
      <c r="D160" s="137">
        <f>'DOE25'!H499</f>
        <v>2193867.5099999998</v>
      </c>
      <c r="E160" s="137">
        <f>'DOE25'!I499</f>
        <v>0</v>
      </c>
      <c r="F160" s="137">
        <f>'DOE25'!J499</f>
        <v>0</v>
      </c>
      <c r="G160" s="138">
        <f t="shared" si="0"/>
        <v>3118242.51</v>
      </c>
    </row>
    <row r="161" spans="1:7" x14ac:dyDescent="0.2">
      <c r="A161" s="22" t="s">
        <v>37</v>
      </c>
      <c r="B161" s="137">
        <f>'DOE25'!F500</f>
        <v>8104500</v>
      </c>
      <c r="C161" s="137">
        <f>'DOE25'!G500</f>
        <v>534875</v>
      </c>
      <c r="D161" s="137">
        <f>'DOE25'!H500</f>
        <v>12017645.129999999</v>
      </c>
      <c r="E161" s="137">
        <f>'DOE25'!I500</f>
        <v>0</v>
      </c>
      <c r="F161" s="137">
        <f>'DOE25'!J500</f>
        <v>0</v>
      </c>
      <c r="G161" s="138">
        <f t="shared" si="0"/>
        <v>20657020.129999999</v>
      </c>
    </row>
    <row r="162" spans="1:7" x14ac:dyDescent="0.2">
      <c r="A162" s="22" t="s">
        <v>38</v>
      </c>
      <c r="B162" s="137">
        <f>'DOE25'!F501</f>
        <v>1200000</v>
      </c>
      <c r="C162" s="137">
        <f>'DOE25'!G501</f>
        <v>260000</v>
      </c>
      <c r="D162" s="137">
        <f>'DOE25'!H501</f>
        <v>230492.41</v>
      </c>
      <c r="E162" s="137">
        <f>'DOE25'!I501</f>
        <v>0</v>
      </c>
      <c r="F162" s="137">
        <f>'DOE25'!J501</f>
        <v>0</v>
      </c>
      <c r="G162" s="138">
        <f t="shared" si="0"/>
        <v>1690492.41</v>
      </c>
    </row>
    <row r="163" spans="1:7" x14ac:dyDescent="0.2">
      <c r="A163" s="22" t="s">
        <v>39</v>
      </c>
      <c r="B163" s="137">
        <f>'DOE25'!F502</f>
        <v>273000</v>
      </c>
      <c r="C163" s="137">
        <f>'DOE25'!G502</f>
        <v>14550</v>
      </c>
      <c r="D163" s="137">
        <f>'DOE25'!H502</f>
        <v>237735.42</v>
      </c>
      <c r="E163" s="137">
        <f>'DOE25'!I502</f>
        <v>0</v>
      </c>
      <c r="F163" s="137">
        <f>'DOE25'!J502</f>
        <v>0</v>
      </c>
      <c r="G163" s="138">
        <f t="shared" si="0"/>
        <v>525285.42000000004</v>
      </c>
    </row>
    <row r="164" spans="1:7" x14ac:dyDescent="0.2">
      <c r="A164" s="22" t="s">
        <v>246</v>
      </c>
      <c r="B164" s="137">
        <f>'DOE25'!F503</f>
        <v>1473000</v>
      </c>
      <c r="C164" s="137">
        <f>'DOE25'!G503</f>
        <v>274550</v>
      </c>
      <c r="D164" s="137">
        <f>'DOE25'!H503</f>
        <v>468227.83</v>
      </c>
      <c r="E164" s="137">
        <f>'DOE25'!I503</f>
        <v>0</v>
      </c>
      <c r="F164" s="137">
        <f>'DOE25'!J503</f>
        <v>0</v>
      </c>
      <c r="G164" s="138">
        <f t="shared" si="0"/>
        <v>2215777.83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E54" sqref="E5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DERRY COOPERATIVE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15443</v>
      </c>
    </row>
    <row r="5" spans="1:4" x14ac:dyDescent="0.2">
      <c r="B5" t="s">
        <v>698</v>
      </c>
      <c r="C5" s="179">
        <f>IF('DOE25'!G665+'DOE25'!G670=0,0,ROUND('DOE25'!G672,0))</f>
        <v>14255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15014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41159116</v>
      </c>
      <c r="D10" s="182">
        <f>ROUND((C10/$C$28)*100,1)</f>
        <v>50.8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17025257</v>
      </c>
      <c r="D11" s="182">
        <f>ROUND((C11/$C$28)*100,1)</f>
        <v>21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495325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6870733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1718786</v>
      </c>
      <c r="D16" s="182">
        <f t="shared" si="0"/>
        <v>2.1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1124467</v>
      </c>
      <c r="D17" s="182">
        <f t="shared" si="0"/>
        <v>1.4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3366075</v>
      </c>
      <c r="D18" s="182">
        <f t="shared" si="0"/>
        <v>4.2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508739</v>
      </c>
      <c r="D19" s="182">
        <f t="shared" si="0"/>
        <v>0.6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3686838</v>
      </c>
      <c r="D20" s="182">
        <f t="shared" si="0"/>
        <v>4.5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3408515</v>
      </c>
      <c r="D21" s="182">
        <f t="shared" si="0"/>
        <v>4.2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167097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587609</v>
      </c>
      <c r="D25" s="182">
        <f t="shared" si="0"/>
        <v>0.7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348822.24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605774.67000000004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81073153.909999996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81073153.909999996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1676702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48169063</v>
      </c>
      <c r="D35" s="182">
        <f t="shared" ref="D35:D40" si="1">ROUND((C35/$C$41)*100,1)</f>
        <v>57.4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1164522.8900000006</v>
      </c>
      <c r="D36" s="182">
        <f t="shared" si="1"/>
        <v>1.4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30063325</v>
      </c>
      <c r="D37" s="182">
        <f t="shared" si="1"/>
        <v>35.799999999999997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1514200</v>
      </c>
      <c r="D38" s="182">
        <f t="shared" si="1"/>
        <v>1.8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3030383</v>
      </c>
      <c r="D39" s="182">
        <f t="shared" si="1"/>
        <v>3.6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83941493.890000001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DERRY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2018-10-17T15:49:07Z</cp:lastPrinted>
  <dcterms:created xsi:type="dcterms:W3CDTF">1997-12-04T19:04:30Z</dcterms:created>
  <dcterms:modified xsi:type="dcterms:W3CDTF">2018-11-13T19:34:26Z</dcterms:modified>
</cp:coreProperties>
</file>