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570" windowHeight="79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D11" i="13"/>
  <c r="F497" i="1"/>
  <c r="H236" i="1" l="1"/>
  <c r="B12" i="12" l="1"/>
  <c r="C12" i="12"/>
  <c r="C10" i="12"/>
  <c r="B10" i="12"/>
  <c r="F236" i="1"/>
  <c r="C39" i="12"/>
  <c r="G236" i="1"/>
  <c r="B39" i="12"/>
  <c r="H235" i="1"/>
  <c r="G235" i="1"/>
  <c r="C21" i="12"/>
  <c r="C19" i="12"/>
  <c r="J604" i="1"/>
  <c r="I604" i="1"/>
  <c r="H604" i="1"/>
  <c r="H472" i="1"/>
  <c r="B19" i="12"/>
  <c r="F234" i="1"/>
  <c r="K234" i="1"/>
  <c r="K216" i="1"/>
  <c r="F216" i="1"/>
  <c r="K198" i="1"/>
  <c r="F198" i="1"/>
  <c r="G332" i="1"/>
  <c r="H332" i="1"/>
  <c r="F332" i="1"/>
  <c r="I332" i="1"/>
  <c r="J332" i="1"/>
  <c r="H198" i="1" l="1"/>
  <c r="H216" i="1"/>
  <c r="H234" i="1"/>
  <c r="F472" i="1"/>
  <c r="H380" i="1"/>
  <c r="I468" i="1"/>
  <c r="H208" i="1" l="1"/>
  <c r="H244" i="1"/>
  <c r="H226" i="1"/>
  <c r="G472" i="1" l="1"/>
  <c r="H468" i="1"/>
  <c r="F146" i="1"/>
  <c r="H49" i="1"/>
  <c r="G40" i="1"/>
  <c r="G13" i="1"/>
  <c r="G12" i="1"/>
  <c r="F468" i="1" l="1"/>
  <c r="F63" i="1"/>
  <c r="F59" i="1"/>
  <c r="F68" i="1"/>
  <c r="F160" i="1"/>
  <c r="G97" i="1" l="1"/>
  <c r="F380" i="1" l="1"/>
  <c r="G380" i="1"/>
  <c r="H104" i="1" l="1"/>
  <c r="H101" i="1"/>
  <c r="H98" i="1"/>
  <c r="H102" i="1"/>
  <c r="H135" i="1"/>
  <c r="H157" i="1"/>
  <c r="H156" i="1"/>
  <c r="G135" i="1"/>
  <c r="G158" i="1"/>
  <c r="G161" i="1"/>
  <c r="F120" i="1"/>
  <c r="F127" i="1"/>
  <c r="F117" i="1"/>
  <c r="F185" i="1"/>
  <c r="F64" i="1"/>
  <c r="F69" i="1"/>
  <c r="F83" i="1"/>
  <c r="F145" i="1"/>
  <c r="F128" i="1"/>
  <c r="F126" i="1"/>
  <c r="F123" i="1"/>
  <c r="F74" i="1"/>
  <c r="F70" i="1"/>
  <c r="C28" i="12" l="1"/>
  <c r="C38" i="12" l="1"/>
  <c r="C37" i="12"/>
  <c r="B38" i="12"/>
  <c r="B37" i="12"/>
  <c r="C30" i="12"/>
  <c r="B30" i="12"/>
  <c r="B28" i="12"/>
  <c r="C20" i="12"/>
  <c r="B21" i="12"/>
  <c r="B20" i="12"/>
  <c r="C11" i="12"/>
  <c r="B11" i="12"/>
  <c r="G333" i="1"/>
  <c r="F333" i="1"/>
  <c r="H541" i="1"/>
  <c r="G613" i="1"/>
  <c r="G611" i="1"/>
  <c r="F613" i="1"/>
  <c r="F611" i="1"/>
  <c r="H582" i="1"/>
  <c r="H538" i="1"/>
  <c r="H537" i="1"/>
  <c r="G277" i="1"/>
  <c r="G296" i="1"/>
  <c r="G315" i="1"/>
  <c r="K326" i="1"/>
  <c r="J321" i="1"/>
  <c r="I321" i="1"/>
  <c r="H321" i="1"/>
  <c r="G321" i="1"/>
  <c r="F321" i="1"/>
  <c r="H315" i="1"/>
  <c r="F315" i="1"/>
  <c r="H325" i="1"/>
  <c r="I320" i="1"/>
  <c r="H320" i="1"/>
  <c r="G320" i="1"/>
  <c r="F320" i="1"/>
  <c r="I315" i="1"/>
  <c r="G322" i="1"/>
  <c r="F322" i="1"/>
  <c r="I319" i="1"/>
  <c r="H319" i="1"/>
  <c r="G319" i="1"/>
  <c r="F319" i="1"/>
  <c r="J302" i="1"/>
  <c r="I302" i="1"/>
  <c r="H302" i="1"/>
  <c r="G302" i="1"/>
  <c r="K307" i="1"/>
  <c r="H296" i="1"/>
  <c r="F296" i="1"/>
  <c r="H306" i="1"/>
  <c r="I301" i="1"/>
  <c r="H301" i="1"/>
  <c r="G301" i="1"/>
  <c r="F301" i="1"/>
  <c r="I296" i="1"/>
  <c r="G303" i="1"/>
  <c r="F303" i="1"/>
  <c r="I300" i="1"/>
  <c r="H300" i="1"/>
  <c r="G300" i="1"/>
  <c r="F300" i="1"/>
  <c r="J283" i="1" l="1"/>
  <c r="I283" i="1"/>
  <c r="H283" i="1"/>
  <c r="G283" i="1"/>
  <c r="F283" i="1"/>
  <c r="K288" i="1"/>
  <c r="H277" i="1"/>
  <c r="F277" i="1"/>
  <c r="F282" i="1"/>
  <c r="K333" i="1"/>
  <c r="H333" i="1"/>
  <c r="J333" i="1"/>
  <c r="I333" i="1"/>
  <c r="H287" i="1"/>
  <c r="I282" i="1"/>
  <c r="H282" i="1"/>
  <c r="G282" i="1"/>
  <c r="I277" i="1"/>
  <c r="G284" i="1"/>
  <c r="F284" i="1"/>
  <c r="I281" i="1"/>
  <c r="H281" i="1"/>
  <c r="G281" i="1"/>
  <c r="F281" i="1"/>
  <c r="K316" i="1" l="1"/>
  <c r="I316" i="1"/>
  <c r="K320" i="1"/>
  <c r="J316" i="1"/>
  <c r="I295" i="1"/>
  <c r="G295" i="1"/>
  <c r="F295" i="1"/>
  <c r="J277" i="1"/>
  <c r="J282" i="1"/>
  <c r="I276" i="1"/>
  <c r="H276" i="1"/>
  <c r="G276" i="1"/>
  <c r="F276" i="1"/>
  <c r="F233" i="1"/>
  <c r="F215" i="1"/>
  <c r="F197" i="1"/>
  <c r="G198" i="1"/>
  <c r="G216" i="1"/>
  <c r="G234" i="1"/>
  <c r="H225" i="1"/>
  <c r="I240" i="1"/>
  <c r="H240" i="1"/>
  <c r="F240" i="1"/>
  <c r="J245" i="1"/>
  <c r="J243" i="1"/>
  <c r="I243" i="1"/>
  <c r="H243" i="1"/>
  <c r="H239" i="1"/>
  <c r="I239" i="1"/>
  <c r="I233" i="1"/>
  <c r="K240" i="1"/>
  <c r="G240" i="1"/>
  <c r="G245" i="1"/>
  <c r="F245" i="1"/>
  <c r="I245" i="1"/>
  <c r="H245" i="1"/>
  <c r="K245" i="1"/>
  <c r="G244" i="1"/>
  <c r="F244" i="1"/>
  <c r="K239" i="1"/>
  <c r="G239" i="1"/>
  <c r="F239" i="1"/>
  <c r="H238" i="1"/>
  <c r="I236" i="1"/>
  <c r="I234" i="1"/>
  <c r="J234" i="1"/>
  <c r="H233" i="1"/>
  <c r="G233" i="1"/>
  <c r="I222" i="1"/>
  <c r="H222" i="1"/>
  <c r="F222" i="1"/>
  <c r="J227" i="1"/>
  <c r="J225" i="1"/>
  <c r="I225" i="1"/>
  <c r="I221" i="1"/>
  <c r="I215" i="1"/>
  <c r="K222" i="1"/>
  <c r="G222" i="1"/>
  <c r="G227" i="1"/>
  <c r="F227" i="1"/>
  <c r="I227" i="1"/>
  <c r="H227" i="1"/>
  <c r="K227" i="1"/>
  <c r="G226" i="1"/>
  <c r="F226" i="1"/>
  <c r="K221" i="1"/>
  <c r="H221" i="1"/>
  <c r="G221" i="1"/>
  <c r="F221" i="1"/>
  <c r="H220" i="1"/>
  <c r="I218" i="1"/>
  <c r="H218" i="1"/>
  <c r="G218" i="1"/>
  <c r="F218" i="1"/>
  <c r="I216" i="1"/>
  <c r="J216" i="1"/>
  <c r="H215" i="1"/>
  <c r="G215" i="1"/>
  <c r="J209" i="1"/>
  <c r="J207" i="1"/>
  <c r="H207" i="1"/>
  <c r="H204" i="1"/>
  <c r="H203" i="1"/>
  <c r="I203" i="1"/>
  <c r="I197" i="1"/>
  <c r="K204" i="1"/>
  <c r="I204" i="1"/>
  <c r="G204" i="1"/>
  <c r="F204" i="1"/>
  <c r="G209" i="1"/>
  <c r="F209" i="1"/>
  <c r="G208" i="1"/>
  <c r="F208" i="1"/>
  <c r="G203" i="1"/>
  <c r="F203" i="1"/>
  <c r="G200" i="1"/>
  <c r="F200" i="1"/>
  <c r="G197" i="1"/>
  <c r="I207" i="1"/>
  <c r="I209" i="1"/>
  <c r="H209" i="1"/>
  <c r="K209" i="1"/>
  <c r="K203" i="1"/>
  <c r="H202" i="1"/>
  <c r="G251" i="1"/>
  <c r="F251" i="1"/>
  <c r="I200" i="1"/>
  <c r="H200" i="1"/>
  <c r="I198" i="1"/>
  <c r="J198" i="1"/>
  <c r="H197" i="1"/>
  <c r="J236" i="1"/>
  <c r="K235" i="1"/>
  <c r="K241" i="1"/>
  <c r="I241" i="1"/>
  <c r="H241" i="1"/>
  <c r="G241" i="1"/>
  <c r="F241" i="1"/>
  <c r="J239" i="1"/>
  <c r="F238" i="1"/>
  <c r="I238" i="1"/>
  <c r="K236" i="1"/>
  <c r="F235" i="1"/>
  <c r="I235" i="1"/>
  <c r="J233" i="1"/>
  <c r="G223" i="1" l="1"/>
  <c r="J215" i="1"/>
  <c r="F223" i="1"/>
  <c r="K223" i="1"/>
  <c r="I223" i="1"/>
  <c r="H223" i="1"/>
  <c r="G220" i="1"/>
  <c r="F220" i="1"/>
  <c r="I220" i="1"/>
  <c r="K218" i="1"/>
  <c r="J197" i="1"/>
  <c r="F205" i="1"/>
  <c r="K205" i="1"/>
  <c r="H205" i="1"/>
  <c r="G202" i="1"/>
  <c r="F202" i="1"/>
  <c r="J202" i="1"/>
  <c r="I202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L325" i="1"/>
  <c r="E124" i="2" s="1"/>
  <c r="L326" i="1"/>
  <c r="E125" i="2" s="1"/>
  <c r="L333" i="1"/>
  <c r="L334" i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C57" i="2" s="1"/>
  <c r="F94" i="1"/>
  <c r="C58" i="2" s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C85" i="2" s="1"/>
  <c r="F162" i="1"/>
  <c r="G147" i="1"/>
  <c r="D85" i="2" s="1"/>
  <c r="G162" i="1"/>
  <c r="H147" i="1"/>
  <c r="E85" i="2" s="1"/>
  <c r="H162" i="1"/>
  <c r="I147" i="1"/>
  <c r="F85" i="2" s="1"/>
  <c r="I162" i="1"/>
  <c r="I169" i="1" s="1"/>
  <c r="L250" i="1"/>
  <c r="C113" i="2" s="1"/>
  <c r="L332" i="1"/>
  <c r="E113" i="2" s="1"/>
  <c r="L254" i="1"/>
  <c r="L268" i="1"/>
  <c r="L269" i="1"/>
  <c r="C143" i="2" s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E122" i="2"/>
  <c r="E123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I408" i="1" s="1"/>
  <c r="F408" i="1"/>
  <c r="H643" i="1" s="1"/>
  <c r="G408" i="1"/>
  <c r="H645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F461" i="1" s="1"/>
  <c r="H639" i="1" s="1"/>
  <c r="G452" i="1"/>
  <c r="G461" i="1" s="1"/>
  <c r="H640" i="1" s="1"/>
  <c r="H452" i="1"/>
  <c r="F460" i="1"/>
  <c r="G460" i="1"/>
  <c r="H460" i="1"/>
  <c r="H461" i="1" s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G641" i="1"/>
  <c r="G643" i="1"/>
  <c r="G644" i="1"/>
  <c r="G650" i="1"/>
  <c r="G652" i="1"/>
  <c r="H652" i="1"/>
  <c r="G653" i="1"/>
  <c r="H653" i="1"/>
  <c r="G654" i="1"/>
  <c r="H654" i="1"/>
  <c r="H655" i="1"/>
  <c r="L256" i="1"/>
  <c r="J552" i="1"/>
  <c r="F22" i="13"/>
  <c r="C22" i="13" s="1"/>
  <c r="G36" i="2"/>
  <c r="I476" i="1" l="1"/>
  <c r="H625" i="1" s="1"/>
  <c r="F662" i="1"/>
  <c r="H476" i="1"/>
  <c r="H624" i="1" s="1"/>
  <c r="G661" i="1"/>
  <c r="L393" i="1"/>
  <c r="C138" i="2" s="1"/>
  <c r="E112" i="2"/>
  <c r="H169" i="1"/>
  <c r="G157" i="2"/>
  <c r="F661" i="1"/>
  <c r="D50" i="2"/>
  <c r="J643" i="1"/>
  <c r="J476" i="1"/>
  <c r="H626" i="1" s="1"/>
  <c r="F476" i="1"/>
  <c r="H622" i="1" s="1"/>
  <c r="J622" i="1" s="1"/>
  <c r="H661" i="1"/>
  <c r="C25" i="10"/>
  <c r="J641" i="1"/>
  <c r="E31" i="2"/>
  <c r="C26" i="10"/>
  <c r="G625" i="1"/>
  <c r="G164" i="2"/>
  <c r="F78" i="2"/>
  <c r="F81" i="2" s="1"/>
  <c r="F130" i="2"/>
  <c r="F144" i="2" s="1"/>
  <c r="F145" i="2" s="1"/>
  <c r="C29" i="10"/>
  <c r="D62" i="2"/>
  <c r="C132" i="2"/>
  <c r="L270" i="1"/>
  <c r="G552" i="1"/>
  <c r="H552" i="1"/>
  <c r="F169" i="1"/>
  <c r="H112" i="1"/>
  <c r="H193" i="1" s="1"/>
  <c r="G629" i="1" s="1"/>
  <c r="J629" i="1" s="1"/>
  <c r="J644" i="1"/>
  <c r="L529" i="1"/>
  <c r="C142" i="2"/>
  <c r="D127" i="2"/>
  <c r="D128" i="2" s="1"/>
  <c r="D145" i="2" s="1"/>
  <c r="E103" i="2"/>
  <c r="C70" i="2"/>
  <c r="F18" i="2"/>
  <c r="L362" i="1"/>
  <c r="C27" i="10" s="1"/>
  <c r="E114" i="2"/>
  <c r="D29" i="13"/>
  <c r="C29" i="13" s="1"/>
  <c r="J640" i="1"/>
  <c r="C35" i="10"/>
  <c r="L351" i="1"/>
  <c r="G645" i="1"/>
  <c r="J645" i="1" s="1"/>
  <c r="L614" i="1"/>
  <c r="K605" i="1"/>
  <c r="G648" i="1" s="1"/>
  <c r="L570" i="1"/>
  <c r="H571" i="1"/>
  <c r="L565" i="1"/>
  <c r="I571" i="1"/>
  <c r="K545" i="1"/>
  <c r="G545" i="1"/>
  <c r="G476" i="1"/>
  <c r="H623" i="1" s="1"/>
  <c r="J623" i="1" s="1"/>
  <c r="H192" i="1"/>
  <c r="F192" i="1"/>
  <c r="J617" i="1"/>
  <c r="L401" i="1"/>
  <c r="C139" i="2" s="1"/>
  <c r="C32" i="10"/>
  <c r="I369" i="1"/>
  <c r="H634" i="1" s="1"/>
  <c r="J634" i="1" s="1"/>
  <c r="D19" i="13"/>
  <c r="C19" i="13" s="1"/>
  <c r="C114" i="2"/>
  <c r="C122" i="2"/>
  <c r="I545" i="1"/>
  <c r="D31" i="2"/>
  <c r="C18" i="2"/>
  <c r="D18" i="2"/>
  <c r="G161" i="2"/>
  <c r="G156" i="2"/>
  <c r="C91" i="2"/>
  <c r="D81" i="2"/>
  <c r="E78" i="2"/>
  <c r="E81" i="2" s="1"/>
  <c r="E62" i="2"/>
  <c r="E63" i="2" s="1"/>
  <c r="D91" i="2"/>
  <c r="G62" i="2"/>
  <c r="H545" i="1"/>
  <c r="I552" i="1"/>
  <c r="K550" i="1"/>
  <c r="K549" i="1"/>
  <c r="L539" i="1"/>
  <c r="J545" i="1"/>
  <c r="K598" i="1"/>
  <c r="G647" i="1" s="1"/>
  <c r="E119" i="2"/>
  <c r="E120" i="2"/>
  <c r="E121" i="2"/>
  <c r="H338" i="1"/>
  <c r="H352" i="1" s="1"/>
  <c r="H662" i="1"/>
  <c r="K338" i="1"/>
  <c r="K352" i="1" s="1"/>
  <c r="L328" i="1"/>
  <c r="E118" i="2"/>
  <c r="E110" i="2"/>
  <c r="G338" i="1"/>
  <c r="G352" i="1" s="1"/>
  <c r="F338" i="1"/>
  <c r="F352" i="1" s="1"/>
  <c r="E109" i="2"/>
  <c r="L309" i="1"/>
  <c r="J338" i="1"/>
  <c r="J352" i="1" s="1"/>
  <c r="L290" i="1"/>
  <c r="C21" i="10"/>
  <c r="C120" i="2"/>
  <c r="C17" i="10"/>
  <c r="G651" i="1"/>
  <c r="J651" i="1" s="1"/>
  <c r="D14" i="13"/>
  <c r="C14" i="13" s="1"/>
  <c r="D7" i="13"/>
  <c r="C7" i="13" s="1"/>
  <c r="A31" i="12"/>
  <c r="C12" i="10"/>
  <c r="C110" i="2"/>
  <c r="L247" i="1"/>
  <c r="C125" i="2"/>
  <c r="K257" i="1"/>
  <c r="K271" i="1" s="1"/>
  <c r="C18" i="10"/>
  <c r="C16" i="10"/>
  <c r="C13" i="10"/>
  <c r="L229" i="1"/>
  <c r="G257" i="1"/>
  <c r="G271" i="1" s="1"/>
  <c r="F257" i="1"/>
  <c r="F271" i="1" s="1"/>
  <c r="J257" i="1"/>
  <c r="J271" i="1" s="1"/>
  <c r="H257" i="1"/>
  <c r="H271" i="1" s="1"/>
  <c r="G649" i="1"/>
  <c r="J649" i="1" s="1"/>
  <c r="H647" i="1"/>
  <c r="C124" i="2"/>
  <c r="C20" i="10"/>
  <c r="C121" i="2"/>
  <c r="D12" i="13"/>
  <c r="C12" i="13" s="1"/>
  <c r="E8" i="13"/>
  <c r="C8" i="13" s="1"/>
  <c r="C118" i="2"/>
  <c r="A40" i="12"/>
  <c r="C11" i="10"/>
  <c r="D5" i="13"/>
  <c r="C5" i="13" s="1"/>
  <c r="I257" i="1"/>
  <c r="I271" i="1" s="1"/>
  <c r="C10" i="10"/>
  <c r="C109" i="2"/>
  <c r="A13" i="12"/>
  <c r="J639" i="1"/>
  <c r="K551" i="1"/>
  <c r="E16" i="13"/>
  <c r="F552" i="1"/>
  <c r="H25" i="13"/>
  <c r="F112" i="1"/>
  <c r="D63" i="2"/>
  <c r="G624" i="1"/>
  <c r="J624" i="1" s="1"/>
  <c r="L534" i="1"/>
  <c r="K500" i="1"/>
  <c r="I460" i="1"/>
  <c r="I452" i="1"/>
  <c r="I461" i="1" s="1"/>
  <c r="H642" i="1" s="1"/>
  <c r="J642" i="1" s="1"/>
  <c r="I446" i="1"/>
  <c r="G642" i="1" s="1"/>
  <c r="C123" i="2"/>
  <c r="C119" i="2"/>
  <c r="C112" i="2"/>
  <c r="C78" i="2"/>
  <c r="L211" i="1"/>
  <c r="G81" i="2"/>
  <c r="C62" i="2"/>
  <c r="C63" i="2" s="1"/>
  <c r="G662" i="1"/>
  <c r="C19" i="10"/>
  <c r="C15" i="10"/>
  <c r="G112" i="1"/>
  <c r="K503" i="1"/>
  <c r="L382" i="1"/>
  <c r="G636" i="1" s="1"/>
  <c r="J636" i="1" s="1"/>
  <c r="E13" i="13"/>
  <c r="C13" i="13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A22" i="12"/>
  <c r="J652" i="1"/>
  <c r="G571" i="1"/>
  <c r="I434" i="1"/>
  <c r="G434" i="1"/>
  <c r="I663" i="1"/>
  <c r="F104" i="2" l="1"/>
  <c r="J625" i="1"/>
  <c r="D51" i="2"/>
  <c r="I661" i="1"/>
  <c r="G104" i="2"/>
  <c r="C141" i="2"/>
  <c r="C144" i="2" s="1"/>
  <c r="G635" i="1"/>
  <c r="J635" i="1" s="1"/>
  <c r="I193" i="1"/>
  <c r="G630" i="1" s="1"/>
  <c r="J630" i="1" s="1"/>
  <c r="C39" i="10"/>
  <c r="C81" i="2"/>
  <c r="C104" i="2" s="1"/>
  <c r="C36" i="10"/>
  <c r="F193" i="1"/>
  <c r="G627" i="1" s="1"/>
  <c r="J627" i="1" s="1"/>
  <c r="K552" i="1"/>
  <c r="G51" i="2"/>
  <c r="E104" i="2"/>
  <c r="J647" i="1"/>
  <c r="E128" i="2"/>
  <c r="I662" i="1"/>
  <c r="H660" i="1"/>
  <c r="H664" i="1" s="1"/>
  <c r="H667" i="1" s="1"/>
  <c r="E115" i="2"/>
  <c r="G660" i="1"/>
  <c r="G664" i="1" s="1"/>
  <c r="G667" i="1" s="1"/>
  <c r="L338" i="1"/>
  <c r="L352" i="1" s="1"/>
  <c r="G633" i="1" s="1"/>
  <c r="J633" i="1" s="1"/>
  <c r="D31" i="13"/>
  <c r="C31" i="13" s="1"/>
  <c r="H648" i="1"/>
  <c r="J648" i="1" s="1"/>
  <c r="L257" i="1"/>
  <c r="L271" i="1" s="1"/>
  <c r="G632" i="1" s="1"/>
  <c r="J632" i="1" s="1"/>
  <c r="C128" i="2"/>
  <c r="C115" i="2"/>
  <c r="C28" i="10"/>
  <c r="D23" i="10" s="1"/>
  <c r="F660" i="1"/>
  <c r="F664" i="1" s="1"/>
  <c r="F672" i="1" s="1"/>
  <c r="C4" i="10" s="1"/>
  <c r="E33" i="13"/>
  <c r="D35" i="13" s="1"/>
  <c r="C16" i="13"/>
  <c r="D104" i="2"/>
  <c r="L408" i="1"/>
  <c r="L545" i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H672" i="1"/>
  <c r="C6" i="10" s="1"/>
  <c r="D33" i="13"/>
  <c r="D36" i="13" s="1"/>
  <c r="G672" i="1"/>
  <c r="C5" i="10" s="1"/>
  <c r="C145" i="2"/>
  <c r="D13" i="10"/>
  <c r="D11" i="10"/>
  <c r="D25" i="10"/>
  <c r="D20" i="10"/>
  <c r="D19" i="10"/>
  <c r="F667" i="1"/>
  <c r="D15" i="10"/>
  <c r="D21" i="10"/>
  <c r="D22" i="10"/>
  <c r="D27" i="10"/>
  <c r="D18" i="10"/>
  <c r="D17" i="10"/>
  <c r="D12" i="10"/>
  <c r="D24" i="10"/>
  <c r="I660" i="1"/>
  <c r="I664" i="1" s="1"/>
  <c r="I672" i="1" s="1"/>
  <c r="C7" i="10" s="1"/>
  <c r="D10" i="10"/>
  <c r="D26" i="10"/>
  <c r="C30" i="10"/>
  <c r="D16" i="10"/>
  <c r="G637" i="1"/>
  <c r="J637" i="1" s="1"/>
  <c r="H646" i="1"/>
  <c r="J646" i="1" s="1"/>
  <c r="C41" i="10"/>
  <c r="D38" i="10" s="1"/>
  <c r="H656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<sst xmlns="http://schemas.openxmlformats.org/spreadsheetml/2006/main" count="3958" uniqueCount="914">
  <si>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</si>
  <si>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</si>
  <si>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</si>
  <si>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</si>
  <si>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</si>
  <si>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</si>
  <si>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</si>
  <si>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</si>
  <si>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</si>
  <si>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</si>
  <si>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</si>
  <si>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</si>
  <si>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</si>
  <si>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</si>
  <si>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</si>
  <si>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</si>
  <si>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</si>
  <si>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</si>
  <si>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</si>
  <si>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</si>
  <si>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</si>
  <si>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</si>
  <si>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</si>
  <si>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</si>
  <si>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</si>
  <si>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</si>
  <si>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</si>
  <si>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</si>
  <si>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</si>
  <si>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</si>
  <si>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</si>
  <si>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</si>
  <si>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</si>
  <si>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</si>
  <si>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</si>
  <si>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</si>
  <si>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</si>
  <si>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</si>
  <si>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</si>
  <si>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</si>
  <si>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</si>
  <si>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</si>
  <si>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</si>
  <si>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</si>
  <si>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</si>
  <si>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</si>
  <si>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</si>
  <si>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</si>
  <si>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</si>
  <si>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</si>
  <si>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</si>
  <si>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</si>
  <si>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</si>
  <si>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</si>
  <si>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</si>
  <si>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</si>
  <si>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</si>
  <si>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</si>
  <si>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</si>
  <si>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</si>
  <si>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</si>
  <si>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</si>
  <si>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</si>
  <si>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</si>
  <si>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</si>
  <si>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</si>
  <si>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</si>
  <si>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</si>
  <si>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</si>
  <si>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</si>
  <si>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</si>
  <si>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</si>
  <si>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</si>
  <si>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</si>
  <si>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</si>
  <si>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</si>
  <si>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</si>
  <si>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</si>
  <si>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</si>
  <si>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</si>
  <si>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</si>
  <si>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</si>
  <si>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</si>
  <si>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</si>
  <si>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</si>
  <si>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</si>
  <si>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</si>
  <si>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</si>
  <si>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</si>
  <si>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</si>
  <si>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</si>
  <si>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</si>
  <si>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</si>
  <si>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</si>
  <si>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</si>
  <si>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</si>
  <si>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</si>
  <si>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</si>
  <si>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</si>
  <si>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</si>
  <si>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</si>
  <si>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</si>
  <si>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</si>
  <si>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</si>
  <si>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</si>
  <si>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</si>
  <si>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</si>
  <si>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</si>
  <si>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</si>
  <si>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</si>
  <si>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</si>
  <si>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</si>
  <si>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</si>
  <si>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</si>
  <si>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</si>
  <si>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</si>
  <si>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</si>
  <si>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</si>
  <si>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</si>
  <si>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</si>
  <si>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</si>
  <si>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</si>
  <si>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</si>
  <si>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</si>
  <si>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</si>
  <si>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</si>
  <si>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</si>
  <si>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</si>
  <si>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</si>
  <si>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</si>
  <si>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</si>
  <si>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</si>
  <si>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</si>
  <si>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</si>
  <si>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</si>
  <si>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</si>
  <si>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</si>
  <si>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</si>
  <si>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</si>
  <si>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</si>
  <si>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</si>
  <si>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</si>
  <si>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</si>
  <si>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</si>
  <si>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</si>
  <si>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</si>
  <si>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</si>
  <si>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</si>
  <si>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</si>
  <si>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</si>
  <si>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</si>
  <si>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</si>
  <si>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</si>
  <si>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</si>
  <si>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</si>
  <si>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</si>
  <si>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</si>
  <si>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</si>
  <si>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</si>
  <si>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</si>
  <si>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</si>
  <si>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</si>
  <si>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</si>
  <si>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</si>
  <si>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</si>
  <si>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</si>
  <si>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</si>
  <si>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</si>
  <si>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</si>
  <si>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</si>
  <si>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</si>
  <si>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</si>
  <si>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</si>
  <si>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</si>
  <si>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</si>
  <si>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</si>
  <si>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</si>
  <si>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</si>
  <si>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</si>
  <si>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</si>
  <si>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</si>
  <si>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</si>
  <si>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</si>
  <si>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</si>
  <si>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</si>
  <si>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</si>
  <si>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</si>
  <si>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</si>
  <si>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</si>
  <si>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</si>
  <si>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</si>
  <si>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</si>
  <si>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</si>
  <si>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</si>
  <si>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</si>
  <si>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</si>
  <si>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</si>
  <si>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</si>
  <si>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</si>
  <si>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</si>
  <si>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</si>
  <si>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</si>
  <si>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</si>
  <si>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</si>
  <si>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</si>
  <si>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</si>
  <si>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</si>
  <si>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</si>
  <si>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</si>
  <si>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</si>
  <si>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</si>
  <si>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</si>
  <si>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</si>
  <si>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</si>
  <si>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</si>
  <si>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</si>
  <si>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</si>
  <si>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</si>
  <si>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</si>
  <si>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</si>
  <si>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</si>
  <si>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</si>
  <si>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</si>
  <si>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</si>
  <si>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</si>
  <si>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</si>
  <si>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</si>
  <si>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</si>
  <si>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</si>
  <si>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</si>
  <si>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</si>
  <si>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</si>
  <si>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</si>
  <si>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</si>
  <si>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</si>
  <si>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</si>
  <si>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</si>
  <si>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</si>
  <si>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</si>
  <si>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</si>
  <si>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</si>
  <si>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</si>
  <si>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</si>
  <si>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</si>
  <si>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</si>
  <si>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</si>
  <si>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</si>
  <si>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</si>
  <si>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</si>
  <si>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</si>
  <si>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</si>
  <si>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</si>
  <si>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</si>
  <si>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</si>
  <si>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</si>
  <si>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</si>
  <si>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</si>
  <si>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</si>
  <si>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</si>
  <si>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</si>
  <si>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</si>
  <si>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</si>
  <si>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</si>
  <si>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</si>
  <si>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</si>
  <si>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</si>
  <si>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</si>
  <si>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</si>
  <si>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</si>
  <si>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</si>
  <si>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</si>
  <si>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</si>
  <si>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</si>
  <si>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</si>
  <si>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</si>
  <si>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</si>
  <si>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</si>
  <si>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</si>
  <si>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</si>
  <si>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</si>
  <si>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</si>
  <si>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</si>
  <si>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</si>
  <si>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</si>
  <si>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</si>
  <si>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</si>
  <si>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</si>
  <si>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</si>
  <si>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</si>
  <si>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</si>
  <si>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</si>
  <si>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</si>
  <si>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</si>
  <si>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</si>
  <si>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</si>
  <si>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</si>
  <si>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</si>
  <si>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</si>
  <si>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</si>
  <si>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</si>
  <si>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</si>
  <si>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</si>
  <si>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</si>
  <si>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</si>
  <si>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</si>
  <si>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</si>
  <si>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</si>
  <si>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</si>
  <si>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</si>
  <si>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</si>
  <si>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</si>
  <si>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</si>
  <si>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</si>
  <si>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</si>
  <si>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</si>
  <si>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</si>
  <si>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</si>
  <si>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</si>
  <si>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</si>
  <si>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</si>
  <si>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</si>
  <si>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</si>
  <si>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</si>
  <si>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</si>
  <si>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</si>
  <si>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</si>
  <si>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</si>
  <si>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</si>
  <si>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</si>
  <si>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</si>
  <si>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</si>
  <si>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</si>
  <si>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</si>
  <si>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</si>
  <si>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</si>
  <si>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</si>
  <si>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</si>
  <si>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</si>
  <si>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</si>
  <si>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</si>
  <si>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</si>
  <si>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</si>
  <si>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</si>
  <si>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</si>
  <si>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</si>
  <si>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</si>
  <si>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</si>
  <si>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</si>
  <si>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</si>
  <si>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</si>
  <si>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</si>
  <si>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</si>
  <si>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</si>
  <si>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</si>
  <si>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</si>
  <si>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</si>
  <si>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</si>
  <si>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</si>
  <si>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</si>
  <si>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</si>
  <si>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</si>
  <si>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</si>
  <si>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</si>
  <si>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</si>
  <si>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</si>
  <si>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</si>
  <si>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</si>
  <si>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</si>
  <si>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</si>
  <si>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</si>
  <si>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</si>
  <si>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</si>
  <si>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</si>
  <si>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</si>
  <si>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</si>
  <si>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</si>
  <si>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</si>
  <si>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</si>
  <si>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</si>
  <si>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</si>
  <si>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</si>
  <si>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</si>
  <si>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</si>
  <si>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</si>
  <si>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</si>
  <si>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</si>
  <si>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</si>
  <si>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</si>
  <si>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</si>
  <si>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</si>
  <si>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</si>
  <si>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</si>
  <si>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</si>
  <si>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</si>
  <si>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</si>
  <si>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</si>
  <si>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</si>
  <si>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</si>
  <si>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</si>
  <si>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</si>
  <si>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</si>
  <si>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</si>
  <si>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</si>
  <si>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</si>
  <si>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</si>
  <si>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</si>
  <si>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</si>
  <si>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</si>
  <si>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</si>
  <si>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</si>
  <si>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</si>
  <si>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</si>
  <si>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</si>
  <si>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</si>
  <si>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</si>
  <si>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</si>
  <si>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</si>
  <si>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</si>
  <si>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</si>
  <si>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</si>
  <si>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</si>
  <si>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</si>
  <si>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</si>
  <si>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</si>
  <si>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</si>
  <si>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</si>
  <si>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</si>
  <si>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</si>
  <si>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</si>
  <si>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</si>
  <si>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</si>
  <si>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</si>
  <si>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</si>
  <si>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</si>
  <si>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</si>
  <si>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</si>
  <si>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</si>
  <si>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</si>
  <si>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</si>
  <si>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</si>
  <si>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</si>
  <si>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</si>
  <si>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</si>
  <si>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</si>
  <si>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</si>
  <si>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</si>
  <si>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</si>
  <si>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</si>
  <si>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</si>
  <si>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</si>
  <si>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</si>
  <si>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</si>
  <si>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</si>
  <si>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</si>
  <si>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</si>
  <si>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</si>
  <si>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</si>
  <si>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</si>
  <si>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</si>
  <si>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</si>
  <si>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</si>
  <si>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</si>
  <si>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</si>
  <si>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</si>
  <si>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</si>
  <si>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</si>
  <si>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</si>
  <si>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</si>
  <si>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</si>
  <si>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</si>
  <si>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</si>
  <si>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</si>
  <si>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</si>
  <si>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</si>
  <si>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</si>
  <si>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</si>
  <si>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</si>
  <si>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</si>
  <si>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</si>
  <si>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</si>
  <si>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</si>
  <si>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</si>
  <si>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</si>
  <si>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</si>
  <si>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</si>
  <si>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</si>
  <si>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</si>
  <si>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</si>
  <si>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</si>
  <si>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</si>
  <si>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</si>
  <si>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</si>
  <si>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</si>
  <si>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</si>
  <si>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</si>
  <si>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</si>
  <si>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</si>
  <si>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</si>
  <si>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</si>
  <si>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</si>
  <si>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</si>
  <si>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</si>
  <si>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</si>
  <si>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</si>
  <si>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</si>
  <si>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</si>
  <si>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</si>
  <si>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</si>
  <si>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</si>
  <si>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</si>
  <si>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</si>
  <si>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</si>
  <si>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</si>
  <si>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</si>
  <si>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</si>
  <si>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</si>
  <si>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</si>
  <si>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</si>
  <si>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</si>
  <si>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</si>
  <si>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</si>
  <si>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</si>
  <si>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</si>
  <si>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</si>
  <si>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</si>
  <si>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</si>
  <si>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</si>
  <si>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</si>
  <si>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</si>
  <si>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</si>
  <si>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</si>
  <si>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</si>
  <si>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</si>
  <si>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</si>
  <si>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</si>
  <si>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</si>
  <si>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</si>
  <si>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</si>
  <si>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</si>
  <si>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</si>
  <si>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</si>
  <si>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</si>
  <si>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</si>
  <si>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</si>
  <si>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</si>
  <si>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</si>
  <si>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</si>
  <si>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</si>
  <si>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</si>
  <si>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</si>
  <si>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</si>
  <si>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</si>
  <si>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</si>
  <si>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</si>
  <si>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</si>
  <si>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</si>
  <si>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</si>
  <si>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</si>
  <si>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</si>
  <si>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</si>
  <si>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</si>
  <si>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</si>
  <si>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</si>
  <si>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</si>
  <si>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</si>
  <si>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</si>
  <si>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</si>
  <si>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</si>
  <si>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</si>
  <si>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</si>
  <si>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</si>
  <si>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</si>
  <si>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</si>
  <si>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</si>
  <si>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</si>
  <si>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</si>
  <si>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</si>
  <si>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</si>
  <si>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</si>
  <si>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</si>
  <si>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</si>
  <si>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</si>
  <si>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</si>
  <si>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</si>
  <si>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</si>
  <si>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</si>
  <si>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</si>
  <si>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</si>
  <si>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</si>
  <si>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</si>
  <si>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</si>
  <si>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</si>
  <si>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</si>
  <si>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</si>
  <si>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</si>
  <si>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</si>
  <si>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</si>
  <si>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</si>
  <si>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</si>
  <si>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</si>
  <si>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</si>
  <si>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</si>
  <si>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</si>
  <si>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</si>
  <si>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</si>
  <si>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</si>
  <si>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</si>
  <si>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</si>
  <si>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</si>
  <si>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</si>
  <si>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</si>
  <si>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</si>
  <si>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</si>
  <si>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</si>
  <si>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</si>
  <si>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</si>
  <si>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</si>
  <si>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</si>
  <si>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</si>
  <si>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</si>
  <si>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</si>
  <si>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</si>
  <si>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</si>
  <si>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</si>
  <si>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</si>
  <si>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</si>
  <si>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</si>
  <si>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</si>
  <si>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</si>
  <si>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</si>
  <si>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</si>
  <si>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</si>
  <si>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</si>
  <si>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</si>
  <si>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</si>
  <si>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</si>
  <si>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</si>
  <si>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</si>
  <si>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</si>
  <si>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</si>
  <si>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</si>
  <si>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</si>
  <si>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</si>
  <si>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</si>
  <si>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</si>
  <si>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</si>
  <si>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</si>
  <si>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</si>
  <si>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</si>
  <si>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</si>
  <si>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</si>
  <si>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</si>
  <si>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</si>
  <si>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</si>
  <si>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</si>
  <si>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</si>
  <si>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</si>
  <si>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</si>
  <si>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</si>
  <si>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</si>
  <si>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</si>
  <si>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</si>
  <si>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</si>
  <si>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</si>
  <si>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</si>
  <si>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</si>
  <si>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</si>
  <si>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</si>
  <si>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</si>
  <si>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</si>
  <si>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</si>
  <si>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</si>
  <si>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</si>
  <si>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</si>
  <si>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</si>
  <si>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</si>
  <si>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</si>
  <si>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</si>
  <si>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</si>
  <si>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</si>
  <si>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</si>
  <si>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</si>
  <si>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</si>
  <si>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</si>
  <si>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</si>
  <si>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</si>
  <si>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</si>
  <si>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</si>
  <si>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</si>
  <si>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</si>
  <si>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</si>
  <si>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</si>
  <si>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</si>
  <si>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</si>
  <si>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</si>
  <si>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</si>
  <si>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</si>
  <si>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</si>
  <si>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</si>
  <si>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</si>
  <si>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</si>
  <si>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</si>
  <si>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</si>
  <si>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</si>
  <si>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</si>
  <si>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</si>
  <si>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</si>
  <si>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</si>
  <si>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</si>
  <si>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</si>
  <si>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</si>
  <si>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</si>
  <si>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</si>
  <si>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</si>
  <si>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</si>
  <si>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</si>
  <si>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</si>
  <si>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</si>
  <si>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</si>
  <si>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</si>
  <si>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</si>
  <si>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</si>
  <si>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</si>
  <si>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</si>
  <si>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</si>
  <si>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</si>
  <si>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</si>
  <si>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</si>
  <si>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</si>
  <si>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</si>
  <si>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</si>
  <si>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</si>
  <si>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</si>
  <si>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</si>
  <si>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</si>
  <si>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</si>
  <si>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</si>
  <si>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</si>
  <si>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</si>
  <si>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</si>
  <si>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</si>
  <si>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</si>
  <si>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</si>
  <si>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</si>
  <si>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</si>
  <si>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</si>
  <si>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</si>
  <si>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</si>
  <si>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</si>
  <si>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</si>
  <si>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</si>
  <si>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</si>
  <si>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</si>
  <si>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</si>
  <si>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</si>
  <si>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</si>
  <si>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</si>
  <si>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</si>
  <si>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</si>
  <si>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</si>
  <si>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</si>
  <si>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</si>
  <si>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</si>
  <si>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</si>
  <si>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</si>
  <si>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</si>
  <si>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</si>
  <si>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</si>
  <si>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</si>
  <si>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</si>
  <si>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</si>
  <si>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</si>
  <si>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</si>
  <si>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</si>
  <si>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</si>
  <si>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</si>
  <si>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</si>
  <si>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</si>
  <si>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</si>
  <si>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</si>
  <si>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</si>
  <si>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</si>
  <si>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</si>
  <si>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</si>
  <si>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</si>
  <si>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</si>
  <si>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</si>
  <si>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</si>
  <si>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</si>
  <si>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</si>
  <si>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</si>
  <si>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</si>
  <si>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</si>
  <si>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</si>
  <si>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</si>
  <si>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</si>
  <si>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</si>
  <si>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</si>
  <si>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</si>
  <si>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</si>
  <si>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</si>
  <si>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</si>
  <si>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</si>
  <si>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</si>
  <si>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</si>
  <si>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</si>
  <si>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</si>
  <si>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</si>
  <si>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</si>
  <si>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</si>
  <si>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</si>
  <si>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</si>
  <si>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</si>
  <si>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</si>
  <si>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</si>
  <si>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</si>
  <si>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</si>
  <si>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</si>
  <si>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</si>
  <si>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</si>
  <si>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</si>
  <si>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</si>
  <si>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</si>
  <si>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</si>
  <si>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</si>
  <si>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</si>
  <si>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</si>
  <si>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</si>
  <si>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</si>
  <si>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</si>
  <si>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</si>
  <si>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</si>
  <si>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</si>
  <si>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</si>
  <si>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</si>
  <si>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</si>
  <si>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</si>
  <si>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</si>
  <si>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</si>
  <si>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</si>
  <si>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</si>
  <si>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</si>
  <si>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</si>
  <si>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</si>
  <si>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</si>
  <si>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</si>
  <si>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</si>
  <si>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</si>
  <si>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</si>
  <si>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</si>
  <si>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</si>
  <si>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</si>
  <si>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</si>
  <si>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</si>
  <si>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</si>
  <si>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</si>
  <si>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</si>
  <si>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</si>
  <si>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</si>
  <si>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</si>
  <si>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</si>
  <si>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</si>
  <si>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</si>
  <si>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</si>
  <si>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</si>
  <si>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</si>
  <si>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</si>
  <si>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</si>
  <si>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</si>
  <si>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</si>
  <si>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</si>
  <si>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</si>
  <si>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</si>
  <si>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</si>
  <si>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</si>
  <si>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</si>
  <si>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</si>
  <si>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</si>
  <si>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</si>
  <si>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</si>
  <si>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</si>
  <si>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</si>
  <si>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</si>
  <si>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</si>
  <si>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</si>
  <si>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</si>
  <si>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</si>
  <si>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</si>
  <si>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</si>
  <si>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</si>
  <si>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</si>
  <si>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</si>
  <si>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</si>
  <si>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</si>
  <si>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</si>
  <si>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</si>
  <si>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</si>
  <si>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</si>
  <si>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</si>
  <si>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</si>
  <si>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</si>
  <si>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</si>
  <si>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</si>
  <si>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</si>
  <si>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</si>
  <si>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</si>
  <si>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</si>
  <si>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</si>
  <si>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</si>
  <si>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</si>
  <si>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</si>
  <si>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</si>
  <si>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Dover School District, SAU#11</t>
  </si>
  <si>
    <t>PY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</si>
</sst>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30" zoomScaleNormal="130" workbookViewId="0">
      <pane xSplit="5" ySplit="3" topLeftCell="F651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141</v>
      </c>
      <c r="C2" s="21">
        <v>141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/>
      <c r="G9" s="18">
        <v>126909.96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f>307658.12+587542.98</f>
        <v>895201.1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f>51023.19+1735.06-1664.2</f>
        <v>51094.05</v>
      </c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55758.98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>
        <v>603312.43999999994</v>
      </c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0</v>
      </c>
      <c r="G19" s="41">
        <f>SUM(G9:G18)</f>
        <v>1128964.0899999999</v>
      </c>
      <c r="H19" s="41">
        <f>SUM(H9:H18)</f>
        <v>603312.43999999994</v>
      </c>
      <c r="I19" s="41">
        <f>SUM(I9:I18)</f>
        <v>0</v>
      </c>
      <c r="J19" s="41">
        <f>SUM(J9:J18)</f>
        <v>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669220.25</v>
      </c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>
        <v>226.43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>
        <v>730.29</v>
      </c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112254.8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0</v>
      </c>
      <c r="G32" s="41">
        <f>SUM(G22:G31)</f>
        <v>782431.77000000014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55758.97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f>326795.12-40596.89-73211.79</f>
        <v>212986.44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581757.81000000006</v>
      </c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>
        <v>77786.91</v>
      </c>
      <c r="H49" s="18">
        <f>2677.7+37.96+1356.55+9137.99+3370+4974.43</f>
        <v>21554.63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0</v>
      </c>
      <c r="G51" s="41">
        <f>SUM(G35:G50)</f>
        <v>346532.32000000007</v>
      </c>
      <c r="H51" s="41">
        <f>SUM(H35:H50)</f>
        <v>603312.44000000006</v>
      </c>
      <c r="I51" s="41">
        <f>SUM(I35:I50)</f>
        <v>0</v>
      </c>
      <c r="J51" s="41">
        <f>SUM(J35:J50)</f>
        <v>0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0</v>
      </c>
      <c r="G52" s="41">
        <f>G51+G32</f>
        <v>1128964.0900000003</v>
      </c>
      <c r="H52" s="41">
        <f>H51+H32</f>
        <v>603312.44000000006</v>
      </c>
      <c r="I52" s="41">
        <f>I51+I32</f>
        <v>0</v>
      </c>
      <c r="J52" s="41">
        <f>J51+J32</f>
        <v>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34354636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f>116580.93+1550+783+55+1220.98+5157.95</f>
        <v>125347.85999999999</v>
      </c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34479983.859999999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f>533.03+8912.5</f>
        <v>9445.5300000000007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f>3980+1440</f>
        <v>5420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>
        <v>98690.240000000005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f>22062.81+2388117.22+855239.23</f>
        <v>3265419.2600000002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f>274575.57+194893.67</f>
        <v>469469.24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f>82737.53</f>
        <v>82737.53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f>67037.5</f>
        <v>67037.5</v>
      </c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3899529.06</v>
      </c>
      <c r="G79" s="45" t="s">
        <v>286</v>
      </c>
      <c r="H79" s="41">
        <f>SUM(H63:H78)</f>
        <v>98690.240000000005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f>15348.36+50299.13</f>
        <v>65647.489999999991</v>
      </c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65647.489999999991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266549.94+421250.95+290.12+20716.1+4316.6+1735.06</f>
        <v>714858.77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>
        <f>3902.61+8911.22+14674.44+15506.18+5873.37+5175.28+19390.56</f>
        <v>73433.66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>
        <f>150192.51-300-3036</f>
        <v>146856.51</v>
      </c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f>5986.94+1520.13+9362.13+5090.71</f>
        <v>21959.909999999996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>
        <f>300+3036</f>
        <v>3336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0</v>
      </c>
      <c r="G111" s="41">
        <f>SUM(G96:G110)</f>
        <v>714858.77</v>
      </c>
      <c r="H111" s="41">
        <f>SUM(H96:H110)</f>
        <v>245586.08000000002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38445160.410000004</v>
      </c>
      <c r="G112" s="41">
        <f>G60+G111</f>
        <v>714858.77</v>
      </c>
      <c r="H112" s="41">
        <f>H60+H79+H94+H111</f>
        <v>344276.32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f>9190594.41-21655.61</f>
        <v>9168938.8000000007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6894236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21655.61+19752.52</f>
        <v>41408.130000000005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16104582.930000002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f>616673.13</f>
        <v>616673.13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f>304264.6</f>
        <v>304264.59999999998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f>238974.03+5333.89</f>
        <v>244307.92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f>2700</f>
        <v>2700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22072.99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>
        <f>3095</f>
        <v>3095</v>
      </c>
      <c r="H135" s="18">
        <f>147967.95+44170.59</f>
        <v>192138.54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1167945.6499999999</v>
      </c>
      <c r="G136" s="41">
        <f>SUM(G123:G135)</f>
        <v>25167.99</v>
      </c>
      <c r="H136" s="41">
        <f>SUM(H123:H135)</f>
        <v>192138.54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17272528.580000002</v>
      </c>
      <c r="G140" s="41">
        <f>G121+SUM(G136:G137)</f>
        <v>25167.99</v>
      </c>
      <c r="H140" s="41">
        <f>H121+SUM(H136:H139)</f>
        <v>192138.54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f>3923.49</f>
        <v>3923.49</v>
      </c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f>41479.09</f>
        <v>41479.089999999997</v>
      </c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45402.579999999994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885455.52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255609.12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f>33822.29+111234.22</f>
        <v>145056.51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f>672.48+51.38+319283.75+188340.84+78233.31+5488.69+14839.81+2566.86</f>
        <v>609477.12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564349.66+36019.53</f>
        <v>600369.19000000006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854395.98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f>557609.32+7135.39</f>
        <v>564744.71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f>92994.41</f>
        <v>92994.41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564744.71</v>
      </c>
      <c r="G162" s="41">
        <f>SUM(G150:G161)</f>
        <v>693363.60000000009</v>
      </c>
      <c r="H162" s="41">
        <f>SUM(H150:H161)</f>
        <v>2749994.25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610147.28999999992</v>
      </c>
      <c r="G169" s="41">
        <f>G147+G162+SUM(G163:G168)</f>
        <v>693363.60000000009</v>
      </c>
      <c r="H169" s="41">
        <f>H147+H162+SUM(H163:H168)</f>
        <v>2749994.25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42233591.039999999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42233591.039999999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50628.38</v>
      </c>
      <c r="H179" s="18">
        <v>14573</v>
      </c>
      <c r="I179" s="18">
        <v>230000</v>
      </c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50628.38</v>
      </c>
      <c r="H183" s="41">
        <f>SUM(H179:H182)</f>
        <v>14573</v>
      </c>
      <c r="I183" s="41">
        <f>SUM(I179:I182)</f>
        <v>230000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f>120000+1347797</f>
        <v>1467797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1467797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1467797</v>
      </c>
      <c r="G192" s="41">
        <f>G183+SUM(G188:G191)</f>
        <v>50628.38</v>
      </c>
      <c r="H192" s="41">
        <f>+H183+SUM(H188:H191)</f>
        <v>14573</v>
      </c>
      <c r="I192" s="41">
        <f>I177+I183+SUM(I188:I191)</f>
        <v>42463591.039999999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57795633.280000009</v>
      </c>
      <c r="G193" s="47">
        <f>G112+G140+G169+G192</f>
        <v>1484018.74</v>
      </c>
      <c r="H193" s="47">
        <f>H112+H140+H169+H192</f>
        <v>3300982.11</v>
      </c>
      <c r="I193" s="47">
        <f>I112+I140+I169+I192</f>
        <v>42463591.039999999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4204473.23+21333.96+986265.31+4143+89635.82+3224.84</f>
        <v>5309076.16</v>
      </c>
      <c r="G197" s="18">
        <f>1317895.57+45399.96+313829.42+677947.77+277096.48+8731.87+73270.56+123592.07+278.65+49156.96</f>
        <v>2887199.3099999996</v>
      </c>
      <c r="H197" s="18">
        <f>379+376.64+246.6</f>
        <v>1002.24</v>
      </c>
      <c r="I197" s="18">
        <f>57256.38+68735.85+8138.26+239+1972.5+5104.02+8036.08</f>
        <v>149482.09</v>
      </c>
      <c r="J197" s="18">
        <f>1907.62+1060.31+791.16+224.95+114.63+3290.5</f>
        <v>7389.1699999999992</v>
      </c>
      <c r="K197" s="18"/>
      <c r="L197" s="19">
        <f>SUM(F197:K197)</f>
        <v>8354148.9699999997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1788078.59+13364.8+275456.81+1065.77+128257.56+110199.15-7200</f>
        <v>2309222.6800000002</v>
      </c>
      <c r="G198" s="18">
        <f>338173.19+10939.89+131553.66+122355.52+78546.9+2559.02+20379.88+30719.5+46385.38+44657.42+36.72</f>
        <v>826307.08000000007</v>
      </c>
      <c r="H198" s="18">
        <f>121544.44+24254.48+301043.69+239712.97+29773.33+572.41-1440</f>
        <v>715461.32</v>
      </c>
      <c r="I198" s="18">
        <f>2854.74+1679.17+7084.98+6181.53+339.16</f>
        <v>18139.579999999998</v>
      </c>
      <c r="J198" s="18">
        <f>2494.09+5589.57</f>
        <v>8083.66</v>
      </c>
      <c r="K198" s="18">
        <f>10472.31+7200</f>
        <v>17672.309999999998</v>
      </c>
      <c r="L198" s="19">
        <f>SUM(F198:K198)</f>
        <v>3894886.6300000004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2388+4037.75+2891.85-3+1656</f>
        <v>10970.6</v>
      </c>
      <c r="G200" s="18">
        <f>182.68+414.55+308.86+540.51+208.86+328.41+239.18</f>
        <v>2223.0500000000002</v>
      </c>
      <c r="H200" s="18">
        <f>626.4</f>
        <v>626.4</v>
      </c>
      <c r="I200" s="18">
        <f>245.44+1204.68</f>
        <v>1450.1200000000001</v>
      </c>
      <c r="J200" s="18"/>
      <c r="K200" s="18"/>
      <c r="L200" s="19">
        <f>SUM(F200:K200)</f>
        <v>15270.170000000002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217857+178846.78+206382.03+954+167048</f>
        <v>771087.81</v>
      </c>
      <c r="G202" s="18">
        <f>91150.88+2380.86+16186.74+37819.87+51872.92+1661.86+13442.78+30627.16+59134.84+1785.82+15611.01+31248.42+78546.9+2542.26+12189.62+28999.4</f>
        <v>475201.34000000008</v>
      </c>
      <c r="H202" s="18">
        <f>689+15148.2+1160+64330.4+49177.44+83908.2</f>
        <v>214413.24</v>
      </c>
      <c r="I202" s="18">
        <f>1693.32+3293.6</f>
        <v>4986.92</v>
      </c>
      <c r="J202" s="18">
        <f>384.85</f>
        <v>384.85</v>
      </c>
      <c r="K202" s="18"/>
      <c r="L202" s="19">
        <f t="shared" ref="L202:L208" si="0">SUM(F202:K202)</f>
        <v>1466074.1600000001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8610+172078.74+1402+55651.85+19006.66</f>
        <v>256749.25</v>
      </c>
      <c r="G203" s="18">
        <f>655.31+1494.7+22116+43296.72+1418.78+13096.78+30116.28+360+31850.07+3926.91</f>
        <v>148331.55000000002</v>
      </c>
      <c r="H203" s="18">
        <f>4280.01+734.94+250.83</f>
        <v>5265.7800000000007</v>
      </c>
      <c r="I203" s="18">
        <f>1789.76+4595+4866.87+13045.72+1204.96+2234.42+292.93+1667.7+6866.45+1241.9</f>
        <v>37805.71</v>
      </c>
      <c r="J203" s="18"/>
      <c r="K203" s="18">
        <f>108+170.28</f>
        <v>278.27999999999997</v>
      </c>
      <c r="L203" s="19">
        <f t="shared" si="0"/>
        <v>448430.57000000012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2592+185655.65+1664.71</f>
        <v>189912.36</v>
      </c>
      <c r="G204" s="18">
        <f>1329.48+198.33+100528.13+316.78</f>
        <v>102372.72</v>
      </c>
      <c r="H204" s="18">
        <f>49931+7215.48+88589.81+28543.88+2880+1800</f>
        <v>178960.16999999998</v>
      </c>
      <c r="I204" s="18">
        <f>5285.94+1239.61+112.32</f>
        <v>6637.869999999999</v>
      </c>
      <c r="J204" s="18"/>
      <c r="K204" s="18">
        <f>4638.2+2138.02</f>
        <v>6776.2199999999993</v>
      </c>
      <c r="L204" s="19">
        <f t="shared" si="0"/>
        <v>484659.33999999991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660924.98+4275+32494.2</f>
        <v>697694.17999999993</v>
      </c>
      <c r="G205" s="18">
        <v>331244.90999999997</v>
      </c>
      <c r="H205" s="18">
        <f>2102.5+423.56</f>
        <v>2526.06</v>
      </c>
      <c r="I205" s="18"/>
      <c r="J205" s="18"/>
      <c r="K205" s="18">
        <f>4537</f>
        <v>4537</v>
      </c>
      <c r="L205" s="19">
        <f t="shared" si="0"/>
        <v>1036002.1499999999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>
        <f>6605.78+10983.42+3346+3312+20455.64+150+350+2520.51+4037.87+979735.94+105600.01+24617.16</f>
        <v>1161714.3299999998</v>
      </c>
      <c r="I207" s="18">
        <f>124304.79+195030.54+1085.78+343.3+630.54</f>
        <v>321394.95</v>
      </c>
      <c r="J207" s="18">
        <f>430.11+2494.8</f>
        <v>2924.9100000000003</v>
      </c>
      <c r="K207" s="18"/>
      <c r="L207" s="19">
        <f t="shared" si="0"/>
        <v>1486034.1899999997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4027.68</f>
        <v>4027.68</v>
      </c>
      <c r="G208" s="18">
        <f>778.02</f>
        <v>778.02</v>
      </c>
      <c r="H208" s="18">
        <f>53955.65+217368.42+527058.83+46774.5+155.65+0.01</f>
        <v>845313.05999999994</v>
      </c>
      <c r="I208" s="18"/>
      <c r="J208" s="18"/>
      <c r="K208" s="18"/>
      <c r="L208" s="19">
        <f t="shared" si="0"/>
        <v>850118.75999999989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f>128892.26+5081.41</f>
        <v>133973.66999999998</v>
      </c>
      <c r="G209" s="18">
        <f>56579+44508.73+565.58</f>
        <v>101653.31000000001</v>
      </c>
      <c r="H209" s="18">
        <f>11365.92</f>
        <v>11365.92</v>
      </c>
      <c r="I209" s="18">
        <f>67241.68</f>
        <v>67241.679999999993</v>
      </c>
      <c r="J209" s="18">
        <f>35532.46+9935.34</f>
        <v>45467.8</v>
      </c>
      <c r="K209" s="18">
        <f>1064.34</f>
        <v>1064.3399999999999</v>
      </c>
      <c r="L209" s="19">
        <f>SUM(F209:K209)</f>
        <v>360766.71999999997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9682714.3899999987</v>
      </c>
      <c r="G211" s="41">
        <f t="shared" si="1"/>
        <v>4875311.2899999982</v>
      </c>
      <c r="H211" s="41">
        <f t="shared" si="1"/>
        <v>3136648.52</v>
      </c>
      <c r="I211" s="41">
        <f t="shared" si="1"/>
        <v>607138.91999999993</v>
      </c>
      <c r="J211" s="41">
        <f t="shared" si="1"/>
        <v>64250.39</v>
      </c>
      <c r="K211" s="41">
        <f t="shared" si="1"/>
        <v>30328.149999999998</v>
      </c>
      <c r="L211" s="41">
        <f t="shared" si="1"/>
        <v>18396391.66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3501072.79+20310+74696.52+2687.37</f>
        <v>3598766.68</v>
      </c>
      <c r="G215" s="18">
        <f>1013278.18+34576.51+261990.19+581890.62+2209.5+40964.13</f>
        <v>1934909.13</v>
      </c>
      <c r="H215" s="18">
        <f>1041.35+205.5</f>
        <v>1246.8499999999999</v>
      </c>
      <c r="I215" s="18">
        <f>49590.53+19045.82+4358.05+284.99+4253.35+6696.74</f>
        <v>84229.480000000025</v>
      </c>
      <c r="J215" s="18">
        <f>822.25+1725.75+9808.25+100</f>
        <v>12456.25</v>
      </c>
      <c r="K215" s="18"/>
      <c r="L215" s="19">
        <f>SUM(F215:K215)</f>
        <v>5631608.3900000006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1484160.81+8390+106881.3+91832.63-6000</f>
        <v>1685264.7400000002</v>
      </c>
      <c r="G216" s="18">
        <f>245488+8744.97+110597.75+132547.92+38654.48+37214.52+30.6</f>
        <v>573278.24</v>
      </c>
      <c r="H216" s="18">
        <f>26379.15+925095.04+165906.77+24811.11+477.01-120</f>
        <v>1142549.08</v>
      </c>
      <c r="I216" s="18">
        <f>3590.82+5904.15+5151.28+282.63</f>
        <v>14928.88</v>
      </c>
      <c r="J216" s="18">
        <f>100+4657.97</f>
        <v>4757.97</v>
      </c>
      <c r="K216" s="18">
        <f>8726.93+6000</f>
        <v>14726.93</v>
      </c>
      <c r="L216" s="19">
        <f>SUM(F216:K216)</f>
        <v>3435505.8400000008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1139.75+7313+21993+1380</f>
        <v>31825.75</v>
      </c>
      <c r="G218" s="18">
        <f>87.2+163.18+559.43+1269.55+1682.48+976.32+199.31</f>
        <v>4937.47</v>
      </c>
      <c r="H218" s="18">
        <f>6578+522</f>
        <v>7100</v>
      </c>
      <c r="I218" s="18">
        <f>1298+1003.9</f>
        <v>2301.9</v>
      </c>
      <c r="J218" s="18"/>
      <c r="K218" s="18">
        <f>1507.5</f>
        <v>1507.5</v>
      </c>
      <c r="L218" s="19">
        <f>SUM(F218:K218)</f>
        <v>47672.62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295396.28+1317+146187.88+56503+48884+26074.4</f>
        <v>574362.56000000006</v>
      </c>
      <c r="G220" s="18">
        <f>107660.02+3545.07+21728.76+49000.26+847.42+11118.32+22632.48+19393.14+485.66+4179.94+9808.81+26182.3+847.42+3435.06+8486.26+1994.58</f>
        <v>291345.50000000006</v>
      </c>
      <c r="H220" s="18">
        <f>46640+11101.4+380+13308.4+69923.5</f>
        <v>141353.29999999999</v>
      </c>
      <c r="I220" s="18">
        <f>360.73+1388.41</f>
        <v>1749.14</v>
      </c>
      <c r="J220" s="18"/>
      <c r="K220" s="18"/>
      <c r="L220" s="19">
        <f t="shared" ref="L220:L226" si="2">SUM(F220:K220)</f>
        <v>1008810.5000000001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19975+41761+46376.54+15838.88</f>
        <v>123951.42000000001</v>
      </c>
      <c r="G221" s="18">
        <f>1528.11+3467.66+22880+3194.63+7249.67+26541.72+3272.43</f>
        <v>68134.22</v>
      </c>
      <c r="H221" s="18">
        <f>4273.95+612.45</f>
        <v>4886.3999999999996</v>
      </c>
      <c r="I221" s="18">
        <f>7451.01+5088.1+1075.36+9919.88+643.39+1389.75+5722.04+1034.91</f>
        <v>32324.44</v>
      </c>
      <c r="J221" s="18"/>
      <c r="K221" s="18">
        <f>90+141.9</f>
        <v>231.9</v>
      </c>
      <c r="L221" s="19">
        <f t="shared" si="2"/>
        <v>229528.38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2160+154713.04+1387.26+1107.9</f>
        <v>159368.20000000001</v>
      </c>
      <c r="G222" s="18">
        <f>165.28+83773.44+263.99</f>
        <v>84202.71</v>
      </c>
      <c r="H222" s="18">
        <f>38835+6012.9+73824.84+23786.57+209.03+1500+2400</f>
        <v>146568.34</v>
      </c>
      <c r="I222" s="18">
        <f>4404.95+93.6+1033.01</f>
        <v>5531.56</v>
      </c>
      <c r="J222" s="18"/>
      <c r="K222" s="18">
        <f>3865.16+1781.68</f>
        <v>5646.84</v>
      </c>
      <c r="L222" s="19">
        <f t="shared" si="2"/>
        <v>401317.65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390019.73+3750+20310</f>
        <v>414079.73</v>
      </c>
      <c r="G223" s="18">
        <f>130677.95+5923.54+29488.52+54479.11+1554.02+90</f>
        <v>222213.13999999998</v>
      </c>
      <c r="H223" s="18">
        <f>524.95</f>
        <v>524.95000000000005</v>
      </c>
      <c r="I223" s="18">
        <f>1756.31</f>
        <v>1756.31</v>
      </c>
      <c r="J223" s="18"/>
      <c r="K223" s="18">
        <f>1883.97</f>
        <v>1883.97</v>
      </c>
      <c r="L223" s="19">
        <f t="shared" si="2"/>
        <v>640458.1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>
        <f>5756.87+9465.72+1760+1416+14504.4+333.68+50+200+2216.35+3592.96+816446.62+88000.01+20514.3</f>
        <v>964256.91</v>
      </c>
      <c r="I225" s="18">
        <f>63267.69+188613.48+904.82+286.09+525.45</f>
        <v>253597.53000000003</v>
      </c>
      <c r="J225" s="18">
        <f>2384+7530+358.43+2079</f>
        <v>12351.43</v>
      </c>
      <c r="K225" s="18"/>
      <c r="L225" s="19">
        <f t="shared" si="2"/>
        <v>1230205.8699999999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f>3356.4</f>
        <v>3356.4</v>
      </c>
      <c r="G226" s="18">
        <f>648.35</f>
        <v>648.35</v>
      </c>
      <c r="H226" s="18">
        <f>366407.13+89533.47+13319.18+439215.69+38978.75+129.71</f>
        <v>947583.92999999993</v>
      </c>
      <c r="I226" s="18"/>
      <c r="J226" s="18"/>
      <c r="K226" s="18"/>
      <c r="L226" s="19">
        <f t="shared" si="2"/>
        <v>951588.67999999993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f>50564.47+9533.16+1000+107410.22+4234.51</f>
        <v>172742.36000000002</v>
      </c>
      <c r="G227" s="18">
        <f>968.14+4674.25+5867.94+44006+37090.61+471.32</f>
        <v>93078.260000000009</v>
      </c>
      <c r="H227" s="18">
        <f>9471.6</f>
        <v>9471.6</v>
      </c>
      <c r="I227" s="18">
        <f>56034.73</f>
        <v>56034.73</v>
      </c>
      <c r="J227" s="18">
        <f>29610.38+8279.45</f>
        <v>37889.83</v>
      </c>
      <c r="K227" s="18">
        <f>886.95</f>
        <v>886.95</v>
      </c>
      <c r="L227" s="19">
        <f>SUM(F227:K227)</f>
        <v>370103.73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6763717.8400000008</v>
      </c>
      <c r="G229" s="41">
        <f>SUM(G215:G228)</f>
        <v>3272747.0200000005</v>
      </c>
      <c r="H229" s="41">
        <f>SUM(H215:H228)</f>
        <v>3365541.36</v>
      </c>
      <c r="I229" s="41">
        <f>SUM(I215:I228)</f>
        <v>452453.97000000003</v>
      </c>
      <c r="J229" s="41">
        <f>SUM(J215:J228)</f>
        <v>67455.48000000001</v>
      </c>
      <c r="K229" s="41">
        <f t="shared" si="3"/>
        <v>24884.090000000004</v>
      </c>
      <c r="L229" s="41">
        <f t="shared" si="3"/>
        <v>13946799.76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4326854.85+25655.31+84656.06+3045.68</f>
        <v>4440211.8999999985</v>
      </c>
      <c r="G233" s="18">
        <f>1281681.84+42486.88+324029.86+706687.48+46426.01</f>
        <v>2401312.0699999998</v>
      </c>
      <c r="H233" s="18">
        <f>2766.77+232.9</f>
        <v>2999.67</v>
      </c>
      <c r="I233" s="18">
        <f>50262.78+151.19+6260.08+4820.46+7589.63</f>
        <v>69084.14</v>
      </c>
      <c r="J233" s="18">
        <f>3014.7</f>
        <v>3014.7</v>
      </c>
      <c r="K233" s="18"/>
      <c r="L233" s="19">
        <f>SUM(F233:K233)</f>
        <v>6916622.4799999986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1397069.32+5426+121132.14+104076.98-6800</f>
        <v>1620904.44</v>
      </c>
      <c r="G234" s="18">
        <f>329549.94+12521.11+101967.05+130787.18+43808.42+42176.46+34.67</f>
        <v>660844.83000000007</v>
      </c>
      <c r="H234" s="18">
        <f>549+1650+6286.25+150.1+26100.16+673810.93+917.24+804.7+7277.04+1337.5+296.39+28119.26+540.61-5105</f>
        <v>742734.18</v>
      </c>
      <c r="I234" s="18">
        <f>5999.59+1967.4+403.92+700+65+6691.37+5838.11+320.31</f>
        <v>21985.7</v>
      </c>
      <c r="J234" s="18">
        <f>930.98+125+3020+5279.04</f>
        <v>9355.02</v>
      </c>
      <c r="K234" s="18">
        <f>129+360+9890.52+6800</f>
        <v>17179.52</v>
      </c>
      <c r="L234" s="19">
        <f>SUM(F234:K234)</f>
        <v>3073003.6900000004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f>971986.5+3283+72619+617</f>
        <v>1048505.5</v>
      </c>
      <c r="G235" s="18">
        <f>277868.33+8484.02+73240.04+161076.48+30+9696.6+505.48+5540.24+12606.62+46.56+107.12</f>
        <v>549201.49</v>
      </c>
      <c r="H235" s="18">
        <f>1254.27+2252.95+1164.25+22.69+4463.88+127.53</f>
        <v>9285.57</v>
      </c>
      <c r="I235" s="18">
        <f>4891.79+69382.51+5959.75+3342.42+14644.36</f>
        <v>98220.829999999987</v>
      </c>
      <c r="J235" s="18"/>
      <c r="K235" s="18">
        <f>9456+180</f>
        <v>9636</v>
      </c>
      <c r="L235" s="19">
        <f>SUM(F235:K235)</f>
        <v>1714849.3900000001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1880.02+18620+280590.05+1100+1564+1175+418.01</f>
        <v>305347.08</v>
      </c>
      <c r="G236" s="18">
        <f>139.76+301.88+1424.34+2500.73+53636.58+2216.86+21286.9+32614.08+225.89</f>
        <v>114347.02</v>
      </c>
      <c r="H236" s="18">
        <f>800+249+15000+35392+6867.41+3104.59+66+1294.59+591.63-418.01-0.03</f>
        <v>62947.179999999993</v>
      </c>
      <c r="I236" s="18">
        <f>24080.78+1137.76</f>
        <v>25218.539999999997</v>
      </c>
      <c r="J236" s="18">
        <f>10687.5+11112.26+7861.27</f>
        <v>29661.030000000002</v>
      </c>
      <c r="K236" s="18">
        <f>1480+39045.25</f>
        <v>40525.25</v>
      </c>
      <c r="L236" s="19">
        <f>SUM(F236:K236)</f>
        <v>578046.1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418978.47+400+112848.39+50639+50449</f>
        <v>633314.86</v>
      </c>
      <c r="G238" s="18">
        <v>342876.26</v>
      </c>
      <c r="H238" s="18">
        <f>46640+4223.48+1100+9273.2+52600+948+79246.63</f>
        <v>194031.31</v>
      </c>
      <c r="I238" s="18">
        <f>1693.74+1598.16</f>
        <v>3291.9</v>
      </c>
      <c r="J238" s="18"/>
      <c r="K238" s="18"/>
      <c r="L238" s="19">
        <f t="shared" ref="L238:L244" si="4">SUM(F238:K238)</f>
        <v>1173514.3299999998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23760+70216+911.78+52560.08+17950.74</f>
        <v>165398.59999999998</v>
      </c>
      <c r="G239" s="18">
        <f>1817.64+4124.73+15143.96+9696.6+505.48+5427.8+12311.28+1816+30080.62+3708.75</f>
        <v>84632.86</v>
      </c>
      <c r="H239" s="18">
        <f>5292.6+694.11+236.9</f>
        <v>6223.61</v>
      </c>
      <c r="I239" s="18">
        <f>11099+884.18+2006.68+3380.14+707.96+1808.13+200+551.51+1575.05+6484.98+1172.9</f>
        <v>29870.53</v>
      </c>
      <c r="J239" s="18">
        <f>319.86+31.83</f>
        <v>351.69</v>
      </c>
      <c r="K239" s="18">
        <f>102+160.82</f>
        <v>262.82</v>
      </c>
      <c r="L239" s="19">
        <f t="shared" si="4"/>
        <v>286740.11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2448+175341.45+1572.23+1255.62</f>
        <v>180617.30000000002</v>
      </c>
      <c r="G240" s="18">
        <f>187.31+94943.24+299.18</f>
        <v>95429.73</v>
      </c>
      <c r="H240" s="18">
        <f>49931+6814.62+83668.16+26958.11+1700+2720</f>
        <v>171791.89</v>
      </c>
      <c r="I240" s="18">
        <f>4992.28+106.08+1170.75</f>
        <v>6269.11</v>
      </c>
      <c r="J240" s="18"/>
      <c r="K240" s="18">
        <f>4380.52+2019.24</f>
        <v>6399.76</v>
      </c>
      <c r="L240" s="19">
        <f t="shared" si="4"/>
        <v>460507.79000000004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555144.94+24072.99+6050+30378.57</f>
        <v>615646.49999999988</v>
      </c>
      <c r="G241" s="18">
        <f>162415.08+10580.83+43599.3+85286.84+90+2323.94</f>
        <v>304295.98999999993</v>
      </c>
      <c r="H241" s="18">
        <f>176.55+7652.68</f>
        <v>7829.2300000000005</v>
      </c>
      <c r="I241" s="18">
        <f>118.99+7999.8</f>
        <v>8118.79</v>
      </c>
      <c r="J241" s="18"/>
      <c r="K241" s="18">
        <f>10+4200</f>
        <v>4210</v>
      </c>
      <c r="L241" s="19">
        <f t="shared" si="4"/>
        <v>940100.50999999978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>
        <f>22548.08+15855.72+1844+3336+19661.49+1005.94+200+550+8138.8+5597.96+925306.17+99733.34+23249.54</f>
        <v>1127027.04</v>
      </c>
      <c r="I243" s="18">
        <f>253134.72+289886.22+1025.46+324.23+595.51</f>
        <v>544966.1399999999</v>
      </c>
      <c r="J243" s="18">
        <f>406.22+2356.2</f>
        <v>2762.42</v>
      </c>
      <c r="K243" s="18"/>
      <c r="L243" s="19">
        <f t="shared" si="4"/>
        <v>1674755.5999999999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f>3803.92</f>
        <v>3803.92</v>
      </c>
      <c r="G244" s="18">
        <f>734.8</f>
        <v>734.8</v>
      </c>
      <c r="H244" s="18">
        <f>153595.12+56266.68+60904.96+92620.53+10404.46+497777.78+44175.92+147</f>
        <v>915892.45000000007</v>
      </c>
      <c r="I244" s="18"/>
      <c r="J244" s="18"/>
      <c r="K244" s="18"/>
      <c r="L244" s="19">
        <f t="shared" si="4"/>
        <v>920431.17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f>55823+700+121731.58+4799.11</f>
        <v>183053.69</v>
      </c>
      <c r="G245" s="18">
        <f>56580+9357.64+503.72+4286.53+6432.4+30+42036.02+534.16</f>
        <v>119760.47</v>
      </c>
      <c r="H245" s="18">
        <f>560+10734.48</f>
        <v>11294.48</v>
      </c>
      <c r="I245" s="18">
        <f>63506.03</f>
        <v>63506.03</v>
      </c>
      <c r="J245" s="18">
        <f>33558.44+9383.38</f>
        <v>42941.82</v>
      </c>
      <c r="K245" s="18">
        <f>1005.21</f>
        <v>1005.21</v>
      </c>
      <c r="L245" s="19">
        <f>SUM(F245:K245)</f>
        <v>421561.70000000007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9196803.7899999972</v>
      </c>
      <c r="G247" s="41">
        <f t="shared" si="5"/>
        <v>4673435.5199999996</v>
      </c>
      <c r="H247" s="41">
        <f t="shared" si="5"/>
        <v>3252056.6100000003</v>
      </c>
      <c r="I247" s="41">
        <f t="shared" si="5"/>
        <v>870531.71</v>
      </c>
      <c r="J247" s="41">
        <f t="shared" si="5"/>
        <v>88086.68</v>
      </c>
      <c r="K247" s="41">
        <f t="shared" si="5"/>
        <v>79218.560000000012</v>
      </c>
      <c r="L247" s="41">
        <f t="shared" si="5"/>
        <v>18160132.869999997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f>7558.75+49127.2+83768+1000</f>
        <v>141453.95000000001</v>
      </c>
      <c r="G251" s="18">
        <f>211631.36-141453.95</f>
        <v>70177.409999999974</v>
      </c>
      <c r="H251" s="18"/>
      <c r="I251" s="18"/>
      <c r="J251" s="18"/>
      <c r="K251" s="18"/>
      <c r="L251" s="19">
        <f t="shared" si="6"/>
        <v>211631.35999999999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141453.95000000001</v>
      </c>
      <c r="G256" s="41">
        <f t="shared" si="7"/>
        <v>70177.409999999974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211631.35999999999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25784689.969999995</v>
      </c>
      <c r="G257" s="41">
        <f t="shared" si="8"/>
        <v>12891671.239999998</v>
      </c>
      <c r="H257" s="41">
        <f t="shared" si="8"/>
        <v>9754246.4900000002</v>
      </c>
      <c r="I257" s="41">
        <f t="shared" si="8"/>
        <v>1930124.5999999999</v>
      </c>
      <c r="J257" s="41">
        <f t="shared" si="8"/>
        <v>219792.55</v>
      </c>
      <c r="K257" s="41">
        <f t="shared" si="8"/>
        <v>134430.80000000002</v>
      </c>
      <c r="L257" s="41">
        <f t="shared" si="8"/>
        <v>50714955.649999999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2007770.68</v>
      </c>
      <c r="L260" s="19">
        <f>SUM(F260:K260)</f>
        <v>2007770.68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3968065.87</v>
      </c>
      <c r="L261" s="19">
        <f>SUM(F261:K261)</f>
        <v>3968065.87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50628.38</v>
      </c>
      <c r="L263" s="19">
        <f>SUM(F263:K263)</f>
        <v>50628.38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14573</v>
      </c>
      <c r="L264" s="19">
        <f t="shared" ref="L264:L270" si="9">SUM(F264:K264)</f>
        <v>14573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230000</v>
      </c>
      <c r="L265" s="19">
        <f t="shared" si="9"/>
        <v>230000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6271037.9299999997</v>
      </c>
      <c r="L270" s="41">
        <f t="shared" si="9"/>
        <v>6271037.9299999997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25784689.969999995</v>
      </c>
      <c r="G271" s="42">
        <f t="shared" si="11"/>
        <v>12891671.239999998</v>
      </c>
      <c r="H271" s="42">
        <f t="shared" si="11"/>
        <v>9754246.4900000002</v>
      </c>
      <c r="I271" s="42">
        <f t="shared" si="11"/>
        <v>1930124.5999999999</v>
      </c>
      <c r="J271" s="42">
        <f t="shared" si="11"/>
        <v>219792.55</v>
      </c>
      <c r="K271" s="42">
        <f t="shared" si="11"/>
        <v>6405468.7299999995</v>
      </c>
      <c r="L271" s="42">
        <f t="shared" si="11"/>
        <v>56985993.579999998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374919.66</f>
        <v>374919.66</v>
      </c>
      <c r="G276" s="18">
        <f>53018.79+1308.35+619.15+563.71+27258.19+22680.81+470.12</f>
        <v>105919.12</v>
      </c>
      <c r="H276" s="18">
        <f>210+133.95</f>
        <v>343.95</v>
      </c>
      <c r="I276" s="18">
        <f>2176.37+969.76</f>
        <v>3146.13</v>
      </c>
      <c r="J276" s="18"/>
      <c r="K276" s="18"/>
      <c r="L276" s="19">
        <f>SUM(F276:K276)</f>
        <v>484328.86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28747.38+1531.26+179348.05</f>
        <v>209626.69</v>
      </c>
      <c r="G277" s="18">
        <f>2138.29+1861.63+148.11+83835.59-36.72</f>
        <v>87946.9</v>
      </c>
      <c r="H277" s="18">
        <f>874+3471.48+343.4+10807.2</f>
        <v>15496.08</v>
      </c>
      <c r="I277" s="18">
        <f>638.45+309.9+287.94</f>
        <v>1236.29</v>
      </c>
      <c r="J277" s="18">
        <f>71.19+2392.95+509.6+452.39</f>
        <v>3426.1299999999997</v>
      </c>
      <c r="K277" s="18"/>
      <c r="L277" s="19">
        <f>SUM(F277:K277)</f>
        <v>317732.08999999997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f>12161.25+24247.47</f>
        <v>36408.720000000001</v>
      </c>
      <c r="G281" s="18">
        <f>30+925.41+2106.24+4086.3</f>
        <v>7147.95</v>
      </c>
      <c r="H281" s="18">
        <f>761.15</f>
        <v>761.15</v>
      </c>
      <c r="I281" s="18">
        <f>88.46+736.02</f>
        <v>824.48</v>
      </c>
      <c r="J281" s="18"/>
      <c r="K281" s="18"/>
      <c r="L281" s="19">
        <f t="shared" ref="L281:L287" si="12">SUM(F281:K281)</f>
        <v>45142.3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67481.75+5317.23</f>
        <v>72798.98</v>
      </c>
      <c r="G282" s="18">
        <f>13091.16+423.72+35.7+80.03+5013.48+6473+10181+54.6+1312.24</f>
        <v>36664.929999999993</v>
      </c>
      <c r="H282" s="18">
        <f>10318.84+1440+5042.85</f>
        <v>16801.690000000002</v>
      </c>
      <c r="I282" s="18">
        <f>321.22+5994+452.04</f>
        <v>6767.26</v>
      </c>
      <c r="J282" s="18">
        <f>7475</f>
        <v>7475</v>
      </c>
      <c r="K282" s="18"/>
      <c r="L282" s="19">
        <f t="shared" si="12"/>
        <v>140507.85999999999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f>2061.38</f>
        <v>2061.38</v>
      </c>
      <c r="G283" s="18">
        <f>502.69</f>
        <v>502.69</v>
      </c>
      <c r="H283" s="18">
        <f>1078.68</f>
        <v>1078.68</v>
      </c>
      <c r="I283" s="18">
        <f>358.7+1575.39</f>
        <v>1934.0900000000001</v>
      </c>
      <c r="J283" s="18">
        <f>2140.18</f>
        <v>2140.1799999999998</v>
      </c>
      <c r="K283" s="18"/>
      <c r="L283" s="19">
        <f t="shared" si="12"/>
        <v>7717.02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f>6727.68</f>
        <v>6727.68</v>
      </c>
      <c r="G284" s="18">
        <f>6071.65</f>
        <v>6071.65</v>
      </c>
      <c r="H284" s="18"/>
      <c r="I284" s="18"/>
      <c r="J284" s="18"/>
      <c r="K284" s="18"/>
      <c r="L284" s="19">
        <f t="shared" si="12"/>
        <v>12799.33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f>4000+260.16</f>
        <v>4260.16</v>
      </c>
      <c r="I287" s="18"/>
      <c r="J287" s="18"/>
      <c r="K287" s="18"/>
      <c r="L287" s="19">
        <f t="shared" si="12"/>
        <v>4260.16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>
        <f>13194.17+3388.35+12857.64</f>
        <v>29440.16</v>
      </c>
      <c r="L288" s="19">
        <f>SUM(F288:K288)</f>
        <v>29440.16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702543.11</v>
      </c>
      <c r="G290" s="42">
        <f t="shared" si="13"/>
        <v>244253.24</v>
      </c>
      <c r="H290" s="42">
        <f t="shared" si="13"/>
        <v>38741.710000000006</v>
      </c>
      <c r="I290" s="42">
        <f t="shared" si="13"/>
        <v>13908.25</v>
      </c>
      <c r="J290" s="42">
        <f t="shared" si="13"/>
        <v>13041.31</v>
      </c>
      <c r="K290" s="42">
        <f t="shared" si="13"/>
        <v>29440.16</v>
      </c>
      <c r="L290" s="41">
        <f t="shared" si="13"/>
        <v>1041927.78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f>152081.37</f>
        <v>152081.37</v>
      </c>
      <c r="G295" s="18">
        <f>40663.64+1274.06+285.6+257.71+10939.28+12722.97+149.7</f>
        <v>66292.959999999992</v>
      </c>
      <c r="H295" s="18"/>
      <c r="I295" s="18">
        <f>1023.08</f>
        <v>1023.08</v>
      </c>
      <c r="J295" s="18"/>
      <c r="K295" s="18"/>
      <c r="L295" s="19">
        <f>SUM(F295:K295)</f>
        <v>219397.40999999997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f>7698.16+1276.05+149456.71</f>
        <v>158430.91999999998</v>
      </c>
      <c r="G296" s="18">
        <f>588.79+123.43+69862.99-30.6</f>
        <v>70544.61</v>
      </c>
      <c r="H296" s="18">
        <f>286.17+9006</f>
        <v>9292.17</v>
      </c>
      <c r="I296" s="18">
        <f>239.95</f>
        <v>239.95</v>
      </c>
      <c r="J296" s="18"/>
      <c r="K296" s="18"/>
      <c r="L296" s="19">
        <f>SUM(F296:K296)</f>
        <v>238507.65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f>20206.22</f>
        <v>20206.22</v>
      </c>
      <c r="G300" s="18">
        <f>3405.25</f>
        <v>3405.25</v>
      </c>
      <c r="H300" s="18">
        <f>1189.88+634.29</f>
        <v>1824.17</v>
      </c>
      <c r="I300" s="18">
        <f>330.25+613.35</f>
        <v>943.6</v>
      </c>
      <c r="J300" s="18"/>
      <c r="K300" s="18"/>
      <c r="L300" s="19">
        <f t="shared" ref="L300:L306" si="14">SUM(F300:K300)</f>
        <v>26379.239999999998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f>23206.54+4431.03</f>
        <v>27637.57</v>
      </c>
      <c r="G301" s="18">
        <f>12043.88+389.76+14.28+64.02+1659.16+3985+16.74+1093.53</f>
        <v>19266.37</v>
      </c>
      <c r="H301" s="18">
        <f>1200+4202.38</f>
        <v>5402.38</v>
      </c>
      <c r="I301" s="18">
        <f>376.7</f>
        <v>376.7</v>
      </c>
      <c r="J301" s="18"/>
      <c r="K301" s="18"/>
      <c r="L301" s="19">
        <f t="shared" si="14"/>
        <v>52683.02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1717.82</v>
      </c>
      <c r="G302" s="18">
        <f>418.91</f>
        <v>418.91</v>
      </c>
      <c r="H302" s="18">
        <f>898.9</f>
        <v>898.9</v>
      </c>
      <c r="I302" s="18">
        <f>298.92+1312.83</f>
        <v>1611.75</v>
      </c>
      <c r="J302" s="18">
        <f>1783.49</f>
        <v>1783.49</v>
      </c>
      <c r="K302" s="18"/>
      <c r="L302" s="19">
        <f t="shared" si="14"/>
        <v>6430.87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f>5606.4</f>
        <v>5606.4</v>
      </c>
      <c r="G303" s="18">
        <f>5059.71</f>
        <v>5059.71</v>
      </c>
      <c r="H303" s="18"/>
      <c r="I303" s="18"/>
      <c r="J303" s="18"/>
      <c r="K303" s="18"/>
      <c r="L303" s="19">
        <f t="shared" si="14"/>
        <v>10666.11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f>216.8</f>
        <v>216.8</v>
      </c>
      <c r="I306" s="18"/>
      <c r="J306" s="18"/>
      <c r="K306" s="18"/>
      <c r="L306" s="19">
        <f t="shared" si="14"/>
        <v>216.8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>
        <f>10995.14+2823.63+10714.7</f>
        <v>24533.47</v>
      </c>
      <c r="L307" s="19">
        <f>SUM(F307:K307)</f>
        <v>24533.47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365680.30000000005</v>
      </c>
      <c r="G309" s="42">
        <f t="shared" si="15"/>
        <v>164987.81</v>
      </c>
      <c r="H309" s="42">
        <f t="shared" si="15"/>
        <v>17634.420000000002</v>
      </c>
      <c r="I309" s="42">
        <f t="shared" si="15"/>
        <v>4195.08</v>
      </c>
      <c r="J309" s="42">
        <f t="shared" si="15"/>
        <v>1783.49</v>
      </c>
      <c r="K309" s="42">
        <f t="shared" si="15"/>
        <v>24533.47</v>
      </c>
      <c r="L309" s="41">
        <f t="shared" si="15"/>
        <v>578814.56999999995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f>14055.73+1446.19+169384.27</f>
        <v>184886.19</v>
      </c>
      <c r="G315" s="18">
        <f>1075.27+139.88+79178.05-34.67</f>
        <v>80358.53</v>
      </c>
      <c r="H315" s="18">
        <f>324.33+10206.8</f>
        <v>10531.13</v>
      </c>
      <c r="I315" s="18">
        <f>271.95</f>
        <v>271.95</v>
      </c>
      <c r="J315" s="18"/>
      <c r="K315" s="18"/>
      <c r="L315" s="19">
        <f>SUM(F315:K315)</f>
        <v>276047.8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>
        <f>10511.71+5392.5+78605.74</f>
        <v>94509.950000000012</v>
      </c>
      <c r="J316" s="18">
        <f>57342.77+5379</f>
        <v>62721.77</v>
      </c>
      <c r="K316" s="18">
        <f>670+165</f>
        <v>835</v>
      </c>
      <c r="L316" s="19">
        <f>SUM(F316:K316)</f>
        <v>158066.72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f>22900.39</f>
        <v>22900.39</v>
      </c>
      <c r="G319" s="18">
        <f>3859.29</f>
        <v>3859.29</v>
      </c>
      <c r="H319" s="18">
        <f>3350+718.86</f>
        <v>4068.86</v>
      </c>
      <c r="I319" s="18">
        <f>695.13</f>
        <v>695.13</v>
      </c>
      <c r="J319" s="18"/>
      <c r="K319" s="18"/>
      <c r="L319" s="19">
        <f t="shared" ref="L319:L325" si="16">SUM(F319:K319)</f>
        <v>31523.670000000002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20389.5+5021.83</f>
        <v>25411.33</v>
      </c>
      <c r="G320" s="18">
        <f>3219.2+1544.86+2680.33+1239.34</f>
        <v>8683.73</v>
      </c>
      <c r="H320" s="18">
        <f>20633.55+4620.64+5718+18786.71+395+2618.38+1360+4762.69</f>
        <v>58894.969999999994</v>
      </c>
      <c r="I320" s="18">
        <f>2080.36+426.93</f>
        <v>2507.29</v>
      </c>
      <c r="J320" s="18"/>
      <c r="K320" s="18">
        <f>4729.66+80</f>
        <v>4809.66</v>
      </c>
      <c r="L320" s="19">
        <f t="shared" si="16"/>
        <v>100306.98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f>1946.86</f>
        <v>1946.86</v>
      </c>
      <c r="G321" s="18">
        <f>474.76</f>
        <v>474.76</v>
      </c>
      <c r="H321" s="18">
        <f>1018.76</f>
        <v>1018.76</v>
      </c>
      <c r="I321" s="18">
        <f>338.78+1487.87</f>
        <v>1826.6499999999999</v>
      </c>
      <c r="J321" s="18">
        <f>2021.28</f>
        <v>2021.28</v>
      </c>
      <c r="K321" s="18"/>
      <c r="L321" s="19">
        <f t="shared" si="16"/>
        <v>7288.3099999999995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f>6353.92</f>
        <v>6353.92</v>
      </c>
      <c r="G322" s="18">
        <f>5734.34</f>
        <v>5734.34</v>
      </c>
      <c r="H322" s="18"/>
      <c r="I322" s="18"/>
      <c r="J322" s="18"/>
      <c r="K322" s="18"/>
      <c r="L322" s="19">
        <f t="shared" si="16"/>
        <v>12088.26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f>3190.41+245.71</f>
        <v>3436.12</v>
      </c>
      <c r="I325" s="18"/>
      <c r="J325" s="18"/>
      <c r="K325" s="18"/>
      <c r="L325" s="19">
        <f t="shared" si="16"/>
        <v>3436.12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>
        <f>2895.77+12461.16+3200.11+12143.32+610.05</f>
        <v>31310.41</v>
      </c>
      <c r="L326" s="19">
        <f>SUM(F326:K326)</f>
        <v>31310.41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241498.69000000003</v>
      </c>
      <c r="G328" s="42">
        <f t="shared" si="17"/>
        <v>99110.64999999998</v>
      </c>
      <c r="H328" s="42">
        <f t="shared" si="17"/>
        <v>77949.839999999982</v>
      </c>
      <c r="I328" s="42">
        <f t="shared" si="17"/>
        <v>99810.97</v>
      </c>
      <c r="J328" s="42">
        <f t="shared" si="17"/>
        <v>64743.049999999996</v>
      </c>
      <c r="K328" s="42">
        <f t="shared" si="17"/>
        <v>36955.07</v>
      </c>
      <c r="L328" s="41">
        <f t="shared" si="17"/>
        <v>620068.27000000014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f>32514.01+1000+4240+24416.65</f>
        <v>62170.659999999996</v>
      </c>
      <c r="G332" s="18">
        <f>8950.67+457.84+2561.72+3785.86+588.06+1867.92+318.37</f>
        <v>18530.439999999999</v>
      </c>
      <c r="H332" s="18">
        <f>31725.71-580.17+28206+823.99+213.86+25+4047+4170.38+671+531.9+6710+425+860</f>
        <v>77829.67</v>
      </c>
      <c r="I332" s="18">
        <f>463.41+4904.56+471.41+1043</f>
        <v>6882.38</v>
      </c>
      <c r="J332" s="18">
        <f>9158</f>
        <v>9158</v>
      </c>
      <c r="K332" s="18"/>
      <c r="L332" s="19">
        <f t="shared" ref="L332:L337" si="18">SUM(F332:K332)</f>
        <v>174571.15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f>71064+19590+16137.02+194685.17+132760.7+95472.1+18384.74+91015.59</f>
        <v>639109.31999999995</v>
      </c>
      <c r="G333" s="18">
        <f>6677.68+4362.5+2436.84+15450.72+30753.66+33717.7+1929.03+6940.14+734.51</f>
        <v>103002.77999999998</v>
      </c>
      <c r="H333" s="18">
        <f>2575+51.38+67464.9+2500</f>
        <v>72591.28</v>
      </c>
      <c r="I333" s="18">
        <f>37462.6+1349.67+14176.13</f>
        <v>52988.399999999994</v>
      </c>
      <c r="J333" s="18">
        <f>30</f>
        <v>30</v>
      </c>
      <c r="K333" s="18">
        <f>6236.17+745+25602.95</f>
        <v>32584.120000000003</v>
      </c>
      <c r="L333" s="19">
        <f t="shared" si="18"/>
        <v>900305.9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701279.98</v>
      </c>
      <c r="G337" s="41">
        <f t="shared" si="19"/>
        <v>121533.21999999999</v>
      </c>
      <c r="H337" s="41">
        <f t="shared" si="19"/>
        <v>150420.95000000001</v>
      </c>
      <c r="I337" s="41">
        <f t="shared" si="19"/>
        <v>59870.779999999992</v>
      </c>
      <c r="J337" s="41">
        <f t="shared" si="19"/>
        <v>9188</v>
      </c>
      <c r="K337" s="41">
        <f t="shared" si="19"/>
        <v>32584.120000000003</v>
      </c>
      <c r="L337" s="41">
        <f t="shared" si="18"/>
        <v>1074877.05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2011002.08</v>
      </c>
      <c r="G338" s="41">
        <f t="shared" si="20"/>
        <v>629884.91999999993</v>
      </c>
      <c r="H338" s="41">
        <f t="shared" si="20"/>
        <v>284746.92</v>
      </c>
      <c r="I338" s="41">
        <f t="shared" si="20"/>
        <v>177785.08</v>
      </c>
      <c r="J338" s="41">
        <f t="shared" si="20"/>
        <v>88755.849999999991</v>
      </c>
      <c r="K338" s="41">
        <f t="shared" si="20"/>
        <v>123512.82</v>
      </c>
      <c r="L338" s="41">
        <f t="shared" si="20"/>
        <v>3315687.67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2011002.08</v>
      </c>
      <c r="G352" s="41">
        <f>G338</f>
        <v>629884.91999999993</v>
      </c>
      <c r="H352" s="41">
        <f>H338</f>
        <v>284746.92</v>
      </c>
      <c r="I352" s="41">
        <f>I338</f>
        <v>177785.08</v>
      </c>
      <c r="J352" s="41">
        <f>J338</f>
        <v>88755.849999999991</v>
      </c>
      <c r="K352" s="47">
        <f>K338+K351</f>
        <v>123512.82</v>
      </c>
      <c r="L352" s="41">
        <f>L338+L351</f>
        <v>3315687.67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11042.13</v>
      </c>
      <c r="G358" s="18">
        <v>4515.99</v>
      </c>
      <c r="H358" s="18">
        <v>502573.96</v>
      </c>
      <c r="I358" s="18">
        <v>35373.980000000003</v>
      </c>
      <c r="J358" s="18">
        <v>9237.85</v>
      </c>
      <c r="K358" s="18">
        <v>259.61</v>
      </c>
      <c r="L358" s="13">
        <f>SUM(F358:K358)</f>
        <v>563003.52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8057.77</v>
      </c>
      <c r="G359" s="18">
        <v>3295.45</v>
      </c>
      <c r="H359" s="18">
        <v>366743.16</v>
      </c>
      <c r="I359" s="18">
        <v>25813.439999999999</v>
      </c>
      <c r="J359" s="18">
        <v>6741.13</v>
      </c>
      <c r="K359" s="18">
        <v>189.45</v>
      </c>
      <c r="L359" s="19">
        <f>SUM(F359:K359)</f>
        <v>410840.4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10743.7</v>
      </c>
      <c r="G360" s="18">
        <v>4393.9399999999996</v>
      </c>
      <c r="H360" s="18">
        <v>488990.88</v>
      </c>
      <c r="I360" s="18">
        <v>34417.919999999998</v>
      </c>
      <c r="J360" s="18">
        <v>8988.17</v>
      </c>
      <c r="K360" s="18">
        <v>252.59</v>
      </c>
      <c r="L360" s="19">
        <f>SUM(F360:K360)</f>
        <v>547787.20000000007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29843.600000000002</v>
      </c>
      <c r="G362" s="47">
        <f t="shared" si="22"/>
        <v>12205.38</v>
      </c>
      <c r="H362" s="47">
        <f t="shared" si="22"/>
        <v>1358308</v>
      </c>
      <c r="I362" s="47">
        <f t="shared" si="22"/>
        <v>95605.34</v>
      </c>
      <c r="J362" s="47">
        <f t="shared" si="22"/>
        <v>24967.15</v>
      </c>
      <c r="K362" s="47">
        <f t="shared" si="22"/>
        <v>701.65</v>
      </c>
      <c r="L362" s="47">
        <f t="shared" si="22"/>
        <v>1521631.12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33814.550000000003</v>
      </c>
      <c r="G367" s="18">
        <v>27239.5</v>
      </c>
      <c r="H367" s="18">
        <v>32875.26</v>
      </c>
      <c r="I367" s="56">
        <f>SUM(F367:H367)</f>
        <v>93929.31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603.37</v>
      </c>
      <c r="G368" s="63">
        <v>486.05</v>
      </c>
      <c r="H368" s="63">
        <v>586.61</v>
      </c>
      <c r="I368" s="56">
        <f>SUM(F368:H368)</f>
        <v>1676.0300000000002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34417.920000000006</v>
      </c>
      <c r="G369" s="47">
        <f>SUM(G367:G368)</f>
        <v>27725.55</v>
      </c>
      <c r="H369" s="47">
        <f>SUM(H367:H368)</f>
        <v>33461.870000000003</v>
      </c>
      <c r="I369" s="47">
        <f>SUM(I367:I368)</f>
        <v>95605.34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>
        <v>21703</v>
      </c>
      <c r="I375" s="18"/>
      <c r="J375" s="18"/>
      <c r="K375" s="18"/>
      <c r="L375" s="13">
        <f t="shared" ref="L375:L381" si="23">SUM(F375:K375)</f>
        <v>21703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>
        <v>1844658.97</v>
      </c>
      <c r="I376" s="18"/>
      <c r="J376" s="18"/>
      <c r="K376" s="18"/>
      <c r="L376" s="13">
        <f t="shared" si="23"/>
        <v>1844658.97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>
        <v>39727786.450000003</v>
      </c>
      <c r="I378" s="18"/>
      <c r="J378" s="18"/>
      <c r="K378" s="18"/>
      <c r="L378" s="13">
        <f t="shared" si="23"/>
        <v>39727786.450000003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f>54234.63+3552.12</f>
        <v>57786.75</v>
      </c>
      <c r="G380" s="18">
        <f>15350+368.64+121.59+118.22+150.21+4318.26+1009.97+6113.92+2.61+5.14+6.63+220.25+51.5+404.22</f>
        <v>28241.16</v>
      </c>
      <c r="H380" s="18">
        <f>551044.71+2370</f>
        <v>553414.71</v>
      </c>
      <c r="I380" s="18"/>
      <c r="J380" s="18"/>
      <c r="K380" s="18"/>
      <c r="L380" s="13">
        <f t="shared" si="23"/>
        <v>639442.62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57786.75</v>
      </c>
      <c r="G382" s="139">
        <f t="shared" ref="G382:L382" si="24">SUM(G374:G381)</f>
        <v>28241.16</v>
      </c>
      <c r="H382" s="139">
        <f t="shared" si="24"/>
        <v>42147563.130000003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42233591.039999999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0</v>
      </c>
      <c r="G465" s="18">
        <v>475356.5</v>
      </c>
      <c r="H465" s="18">
        <v>618018</v>
      </c>
      <c r="I465" s="18"/>
      <c r="J465" s="18"/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34354636+6894236+16546761.28</f>
        <v>57795633.280000001</v>
      </c>
      <c r="G468" s="18">
        <v>1484018.74</v>
      </c>
      <c r="H468" s="18">
        <f>885455.52+255609.12+293024.46+653647.71+854395.98+95393.57+98690.24+150192.51+14573</f>
        <v>3300982.1100000003</v>
      </c>
      <c r="I468" s="18">
        <f>42233591.04+230000</f>
        <v>42463591.039999999</v>
      </c>
      <c r="J468" s="18"/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57795633.280000001</v>
      </c>
      <c r="G470" s="53">
        <f>SUM(G468:G469)</f>
        <v>1484018.74</v>
      </c>
      <c r="H470" s="53">
        <f>SUM(H468:H469)</f>
        <v>3300982.1100000003</v>
      </c>
      <c r="I470" s="53">
        <f>SUM(I468:I469)</f>
        <v>42463591.039999999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51010157.03+5975836.55</f>
        <v>56985993.579999998</v>
      </c>
      <c r="G472" s="18">
        <f>1521631.13-0.01</f>
        <v>1521631.1199999999</v>
      </c>
      <c r="H472" s="18">
        <f>2941692.62+100730.65+98690.24+3.01+174571.15</f>
        <v>3315687.67</v>
      </c>
      <c r="I472" s="18">
        <v>42233591.039999999</v>
      </c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809639.7</v>
      </c>
      <c r="G473" s="18">
        <v>91211.8</v>
      </c>
      <c r="H473" s="18"/>
      <c r="I473" s="18">
        <v>230000</v>
      </c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57795633.280000001</v>
      </c>
      <c r="G474" s="53">
        <f>SUM(G472:G473)</f>
        <v>1612842.92</v>
      </c>
      <c r="H474" s="53">
        <f>SUM(H472:H473)</f>
        <v>3315687.67</v>
      </c>
      <c r="I474" s="53">
        <f>SUM(I472:I473)</f>
        <v>42463591.039999999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0</v>
      </c>
      <c r="G476" s="53">
        <f>(G465+G470)- G474</f>
        <v>346532.32000000007</v>
      </c>
      <c r="H476" s="53">
        <f>(H465+H470)- H474</f>
        <v>603312.44000000041</v>
      </c>
      <c r="I476" s="53">
        <f>(I465+I470)- I474</f>
        <v>0</v>
      </c>
      <c r="J476" s="53">
        <f>(J465+J470)- J474</f>
        <v>0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88441955.989999995</v>
      </c>
      <c r="G495" s="18"/>
      <c r="H495" s="18"/>
      <c r="I495" s="18"/>
      <c r="J495" s="18"/>
      <c r="K495" s="53">
        <f>SUM(F495:J495)</f>
        <v>88441955.989999995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2403143.4700000002</v>
      </c>
      <c r="G496" s="18"/>
      <c r="H496" s="18"/>
      <c r="I496" s="18"/>
      <c r="J496" s="18"/>
      <c r="K496" s="53">
        <f t="shared" ref="K496:K503" si="35">SUM(F496:J496)</f>
        <v>2403143.4700000002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f>2007770.68+3200000+200000+3000000</f>
        <v>8407770.6799999997</v>
      </c>
      <c r="G497" s="18"/>
      <c r="H497" s="18"/>
      <c r="I497" s="18"/>
      <c r="J497" s="18"/>
      <c r="K497" s="53">
        <f t="shared" si="35"/>
        <v>8407770.6799999997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85637328.780000001</v>
      </c>
      <c r="G498" s="204"/>
      <c r="H498" s="204"/>
      <c r="I498" s="204"/>
      <c r="J498" s="204"/>
      <c r="K498" s="205">
        <f t="shared" si="35"/>
        <v>85637328.780000001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41557191.789999999</v>
      </c>
      <c r="G499" s="18"/>
      <c r="H499" s="18"/>
      <c r="I499" s="18"/>
      <c r="J499" s="18"/>
      <c r="K499" s="53">
        <f t="shared" si="35"/>
        <v>41557191.789999999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127194520.56999999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127194520.56999999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1891205</v>
      </c>
      <c r="G501" s="204"/>
      <c r="H501" s="204"/>
      <c r="I501" s="204"/>
      <c r="J501" s="204"/>
      <c r="K501" s="205">
        <f t="shared" si="35"/>
        <v>1891205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4084654</v>
      </c>
      <c r="G502" s="18"/>
      <c r="H502" s="18"/>
      <c r="I502" s="18"/>
      <c r="J502" s="18"/>
      <c r="K502" s="53">
        <f t="shared" si="35"/>
        <v>4084654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5975859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5975859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>
        <v>223103.43</v>
      </c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2437925.5099999998</v>
      </c>
      <c r="G521" s="18">
        <v>872590.29</v>
      </c>
      <c r="H521" s="18">
        <v>702624.07</v>
      </c>
      <c r="I521" s="18">
        <v>12290.89</v>
      </c>
      <c r="J521" s="18">
        <v>5920.22</v>
      </c>
      <c r="K521" s="18">
        <v>0</v>
      </c>
      <c r="L521" s="88">
        <f>SUM(F521:K521)</f>
        <v>4031350.98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1776259.11</v>
      </c>
      <c r="G522" s="18">
        <v>609103.11</v>
      </c>
      <c r="H522" s="18">
        <v>1127150.1399999999</v>
      </c>
      <c r="I522" s="18">
        <v>9264.68</v>
      </c>
      <c r="J522" s="18">
        <v>100</v>
      </c>
      <c r="K522" s="18">
        <v>0</v>
      </c>
      <c r="L522" s="88">
        <f>SUM(F522:K522)</f>
        <v>3521877.0400000005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1729362.54</v>
      </c>
      <c r="G523" s="18">
        <v>701854.32</v>
      </c>
      <c r="H523" s="18">
        <v>730251.05</v>
      </c>
      <c r="I523" s="18">
        <v>15566.28</v>
      </c>
      <c r="J523" s="18">
        <v>4075.98</v>
      </c>
      <c r="K523" s="18">
        <v>489</v>
      </c>
      <c r="L523" s="88">
        <f>SUM(F523:K523)</f>
        <v>3181599.17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 t="shared" ref="F524:K524" si="36">SUM(F521:F523)</f>
        <v>5943547.1600000001</v>
      </c>
      <c r="G524" s="108">
        <f t="shared" si="36"/>
        <v>2183547.7199999997</v>
      </c>
      <c r="H524" s="108">
        <f t="shared" si="36"/>
        <v>2560025.2599999998</v>
      </c>
      <c r="I524" s="108">
        <f t="shared" si="36"/>
        <v>37121.85</v>
      </c>
      <c r="J524" s="108">
        <f t="shared" si="36"/>
        <v>10096.200000000001</v>
      </c>
      <c r="K524" s="108">
        <f t="shared" si="36"/>
        <v>489</v>
      </c>
      <c r="L524" s="89">
        <f t="shared" ref="L524" si="37">SUM(L521:L523)</f>
        <v>10734827.190000001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410792.75</v>
      </c>
      <c r="G526" s="18">
        <v>237206.22</v>
      </c>
      <c r="H526" s="18">
        <v>198031.39</v>
      </c>
      <c r="I526" s="18">
        <v>824.48</v>
      </c>
      <c r="J526" s="18">
        <v>0</v>
      </c>
      <c r="K526" s="18">
        <v>0</v>
      </c>
      <c r="L526" s="88">
        <f>SUM(F526:K526)</f>
        <v>846854.84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151667.62</v>
      </c>
      <c r="G527" s="18">
        <v>78218.42</v>
      </c>
      <c r="H527" s="18">
        <v>84934.57</v>
      </c>
      <c r="I527" s="18">
        <v>943.6</v>
      </c>
      <c r="J527" s="18">
        <v>0</v>
      </c>
      <c r="K527" s="18">
        <v>0</v>
      </c>
      <c r="L527" s="88">
        <f>SUM(F527:K527)</f>
        <v>315764.20999999996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123988.39</v>
      </c>
      <c r="G528" s="18">
        <v>82753.490000000005</v>
      </c>
      <c r="H528" s="18">
        <v>92450.99</v>
      </c>
      <c r="I528" s="18">
        <v>695.13</v>
      </c>
      <c r="J528" s="18">
        <v>0</v>
      </c>
      <c r="K528" s="18">
        <v>0</v>
      </c>
      <c r="L528" s="88">
        <f>SUM(F528:K528)</f>
        <v>299888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686448.76</v>
      </c>
      <c r="G529" s="89">
        <f t="shared" ref="G529:L529" si="38">SUM(G526:G528)</f>
        <v>398178.13</v>
      </c>
      <c r="H529" s="89">
        <f t="shared" si="38"/>
        <v>375416.95</v>
      </c>
      <c r="I529" s="89">
        <f t="shared" si="38"/>
        <v>2463.21</v>
      </c>
      <c r="J529" s="89">
        <f t="shared" si="38"/>
        <v>0</v>
      </c>
      <c r="K529" s="89">
        <f t="shared" si="38"/>
        <v>0</v>
      </c>
      <c r="L529" s="89">
        <f t="shared" si="38"/>
        <v>1462507.0499999998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88123.86</v>
      </c>
      <c r="G531" s="18">
        <v>41663.69</v>
      </c>
      <c r="H531" s="18">
        <v>29773.33</v>
      </c>
      <c r="I531" s="18">
        <v>7084.98</v>
      </c>
      <c r="J531" s="18">
        <v>5589.57</v>
      </c>
      <c r="K531" s="18">
        <v>10472.31</v>
      </c>
      <c r="L531" s="88">
        <f>SUM(F531:K531)</f>
        <v>182707.74000000002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73436.55</v>
      </c>
      <c r="G532" s="18">
        <v>34719.74</v>
      </c>
      <c r="H532" s="18">
        <v>24811.11</v>
      </c>
      <c r="I532" s="18">
        <v>5904.15</v>
      </c>
      <c r="J532" s="18">
        <v>4657.97</v>
      </c>
      <c r="K532" s="18">
        <v>8726.93</v>
      </c>
      <c r="L532" s="88">
        <f>SUM(F532:K532)</f>
        <v>152256.45000000001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83228.09</v>
      </c>
      <c r="G533" s="18">
        <v>39349.040000000001</v>
      </c>
      <c r="H533" s="18">
        <v>28119.26</v>
      </c>
      <c r="I533" s="18">
        <v>6691.37</v>
      </c>
      <c r="J533" s="18">
        <v>5279.04</v>
      </c>
      <c r="K533" s="18">
        <v>9890.52</v>
      </c>
      <c r="L533" s="88">
        <f>SUM(F533:K533)</f>
        <v>172557.32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 t="shared" ref="F534:K534" si="39">SUM(F531:F533)</f>
        <v>244788.5</v>
      </c>
      <c r="G534" s="89">
        <f t="shared" si="39"/>
        <v>115732.47</v>
      </c>
      <c r="H534" s="89">
        <f t="shared" si="39"/>
        <v>82703.7</v>
      </c>
      <c r="I534" s="89">
        <f t="shared" si="39"/>
        <v>19680.5</v>
      </c>
      <c r="J534" s="89">
        <f t="shared" si="39"/>
        <v>15526.580000000002</v>
      </c>
      <c r="K534" s="89">
        <f t="shared" si="39"/>
        <v>29089.759999999998</v>
      </c>
      <c r="L534" s="89">
        <f t="shared" ref="L534" si="40">SUM(L531:L533)</f>
        <v>507521.51000000007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6004.04</v>
      </c>
      <c r="I536" s="18"/>
      <c r="J536" s="18"/>
      <c r="K536" s="18"/>
      <c r="L536" s="88">
        <f>SUM(F536:K536)</f>
        <v>6004.04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f>6780.85+5003.36</f>
        <v>11784.21</v>
      </c>
      <c r="I537" s="18"/>
      <c r="J537" s="18"/>
      <c r="K537" s="18"/>
      <c r="L537" s="88">
        <f>SUM(F537:K537)</f>
        <v>11784.21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f>5670.48</f>
        <v>5670.48</v>
      </c>
      <c r="I538" s="18"/>
      <c r="J538" s="18"/>
      <c r="K538" s="18"/>
      <c r="L538" s="88">
        <f>SUM(F538:K538)</f>
        <v>5670.48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23458.73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23458.73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f>122154.4+36341.8+112827.87</f>
        <v>271324.07</v>
      </c>
      <c r="I541" s="18"/>
      <c r="J541" s="18"/>
      <c r="K541" s="18"/>
      <c r="L541" s="88">
        <f>SUM(F541:K541)</f>
        <v>271324.07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455940.6</v>
      </c>
      <c r="I542" s="18"/>
      <c r="J542" s="18"/>
      <c r="K542" s="18"/>
      <c r="L542" s="88">
        <f>SUM(F542:K542)</f>
        <v>455940.6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209861.8</v>
      </c>
      <c r="I543" s="18"/>
      <c r="J543" s="18"/>
      <c r="K543" s="18"/>
      <c r="L543" s="88">
        <f>SUM(F543:K543)</f>
        <v>209861.8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2">SUM(G541:G543)</f>
        <v>0</v>
      </c>
      <c r="H544" s="193">
        <f t="shared" si="42"/>
        <v>937126.47</v>
      </c>
      <c r="I544" s="193">
        <f t="shared" si="42"/>
        <v>0</v>
      </c>
      <c r="J544" s="193">
        <f t="shared" si="42"/>
        <v>0</v>
      </c>
      <c r="K544" s="193">
        <f t="shared" si="42"/>
        <v>0</v>
      </c>
      <c r="L544" s="193">
        <f t="shared" si="42"/>
        <v>937126.47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6874784.4199999999</v>
      </c>
      <c r="G545" s="89">
        <f t="shared" ref="G545:L545" si="43">G524+G529+G534+G539+G544</f>
        <v>2697458.32</v>
      </c>
      <c r="H545" s="89">
        <f t="shared" si="43"/>
        <v>3978731.1100000003</v>
      </c>
      <c r="I545" s="89">
        <f t="shared" si="43"/>
        <v>59265.56</v>
      </c>
      <c r="J545" s="89">
        <f t="shared" si="43"/>
        <v>25622.780000000002</v>
      </c>
      <c r="K545" s="89">
        <f t="shared" si="43"/>
        <v>29578.76</v>
      </c>
      <c r="L545" s="89">
        <f t="shared" si="43"/>
        <v>13665440.950000003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4031350.98</v>
      </c>
      <c r="G549" s="87">
        <f>L526</f>
        <v>846854.84</v>
      </c>
      <c r="H549" s="87">
        <f>L531</f>
        <v>182707.74000000002</v>
      </c>
      <c r="I549" s="87">
        <f>L536</f>
        <v>6004.04</v>
      </c>
      <c r="J549" s="87">
        <f>L541</f>
        <v>271324.07</v>
      </c>
      <c r="K549" s="87">
        <f>SUM(F549:J549)</f>
        <v>5338241.6700000009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3521877.0400000005</v>
      </c>
      <c r="G550" s="87">
        <f>L527</f>
        <v>315764.20999999996</v>
      </c>
      <c r="H550" s="87">
        <f>L532</f>
        <v>152256.45000000001</v>
      </c>
      <c r="I550" s="87">
        <f>L537</f>
        <v>11784.21</v>
      </c>
      <c r="J550" s="87">
        <f>L542</f>
        <v>455940.6</v>
      </c>
      <c r="K550" s="87">
        <f>SUM(F550:J550)</f>
        <v>4457622.5100000007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3181599.17</v>
      </c>
      <c r="G551" s="87">
        <f>L528</f>
        <v>299888</v>
      </c>
      <c r="H551" s="87">
        <f>L533</f>
        <v>172557.32</v>
      </c>
      <c r="I551" s="87">
        <f>L538</f>
        <v>5670.48</v>
      </c>
      <c r="J551" s="87">
        <f>L543</f>
        <v>209861.8</v>
      </c>
      <c r="K551" s="87">
        <f>SUM(F551:J551)</f>
        <v>3869576.7699999996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4">SUM(F549:F551)</f>
        <v>10734827.190000001</v>
      </c>
      <c r="G552" s="89">
        <f t="shared" si="44"/>
        <v>1462507.0499999998</v>
      </c>
      <c r="H552" s="89">
        <f t="shared" si="44"/>
        <v>507521.51000000007</v>
      </c>
      <c r="I552" s="89">
        <f t="shared" si="44"/>
        <v>23458.73</v>
      </c>
      <c r="J552" s="89">
        <f t="shared" si="44"/>
        <v>937126.47</v>
      </c>
      <c r="K552" s="89">
        <f t="shared" si="44"/>
        <v>13665440.950000001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6">SUM(F562:F564)</f>
        <v>0</v>
      </c>
      <c r="G565" s="89">
        <f t="shared" si="46"/>
        <v>0</v>
      </c>
      <c r="H565" s="89">
        <f t="shared" si="46"/>
        <v>0</v>
      </c>
      <c r="I565" s="89">
        <f t="shared" si="46"/>
        <v>0</v>
      </c>
      <c r="J565" s="89">
        <f t="shared" si="46"/>
        <v>0</v>
      </c>
      <c r="K565" s="89">
        <f t="shared" si="46"/>
        <v>0</v>
      </c>
      <c r="L565" s="89">
        <f t="shared" si="46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7">SUM(G567:G569)</f>
        <v>0</v>
      </c>
      <c r="H570" s="193">
        <f t="shared" si="47"/>
        <v>0</v>
      </c>
      <c r="I570" s="193">
        <f t="shared" si="47"/>
        <v>0</v>
      </c>
      <c r="J570" s="193">
        <f t="shared" si="47"/>
        <v>0</v>
      </c>
      <c r="K570" s="193">
        <f t="shared" si="47"/>
        <v>0</v>
      </c>
      <c r="L570" s="193">
        <f t="shared" si="47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8">G560+G565+G570</f>
        <v>0</v>
      </c>
      <c r="H571" s="89">
        <f t="shared" si="48"/>
        <v>0</v>
      </c>
      <c r="I571" s="89">
        <f t="shared" si="48"/>
        <v>0</v>
      </c>
      <c r="J571" s="89">
        <f t="shared" si="48"/>
        <v>0</v>
      </c>
      <c r="K571" s="89">
        <f t="shared" si="48"/>
        <v>0</v>
      </c>
      <c r="L571" s="89">
        <f t="shared" si="48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9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24254.48</v>
      </c>
      <c r="G579" s="18">
        <v>26379.15</v>
      </c>
      <c r="H579" s="18">
        <v>26100.16</v>
      </c>
      <c r="I579" s="87">
        <f t="shared" si="49"/>
        <v>76733.790000000008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9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9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301043.69</v>
      </c>
      <c r="G582" s="18">
        <v>925095.04</v>
      </c>
      <c r="H582" s="18">
        <f>673810.93+948</f>
        <v>674758.93</v>
      </c>
      <c r="I582" s="87">
        <f t="shared" si="49"/>
        <v>1900897.6600000001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9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4463.88</v>
      </c>
      <c r="I584" s="87">
        <f t="shared" si="49"/>
        <v>4463.88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9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527058.82999999996</v>
      </c>
      <c r="I591" s="18">
        <v>439215.69</v>
      </c>
      <c r="J591" s="18">
        <v>497777.78</v>
      </c>
      <c r="K591" s="104">
        <f t="shared" ref="K591:K597" si="50">SUM(H591:J591)</f>
        <v>1464052.3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271324.07</v>
      </c>
      <c r="I592" s="18">
        <v>455940.6</v>
      </c>
      <c r="J592" s="18">
        <v>209861.8</v>
      </c>
      <c r="K592" s="104">
        <f t="shared" si="50"/>
        <v>937126.47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60904.959999999999</v>
      </c>
      <c r="K593" s="104">
        <f t="shared" si="50"/>
        <v>60904.959999999999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13319.18</v>
      </c>
      <c r="J594" s="18">
        <v>92620.53</v>
      </c>
      <c r="K594" s="104">
        <f t="shared" si="50"/>
        <v>105939.70999999999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0</v>
      </c>
      <c r="I595" s="18">
        <v>0</v>
      </c>
      <c r="J595" s="18">
        <v>10404.459999999999</v>
      </c>
      <c r="K595" s="104">
        <f t="shared" si="50"/>
        <v>10404.459999999999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0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51735.86</v>
      </c>
      <c r="I597" s="18">
        <v>43113.21</v>
      </c>
      <c r="J597" s="18">
        <v>48861.64</v>
      </c>
      <c r="K597" s="104">
        <f t="shared" si="50"/>
        <v>143710.71000000002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850118.75999999989</v>
      </c>
      <c r="I598" s="108">
        <f>SUM(I591:I597)</f>
        <v>951588.68</v>
      </c>
      <c r="J598" s="108">
        <f>SUM(J591:J597)</f>
        <v>920431.17</v>
      </c>
      <c r="K598" s="108">
        <f>SUM(K591:K597)</f>
        <v>2722138.61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64250.39+13041.31+3297</f>
        <v>80588.7</v>
      </c>
      <c r="I604" s="18">
        <f>67455.48+1783.49+2747</f>
        <v>71985.97</v>
      </c>
      <c r="J604" s="18">
        <f>88086.68+64743.05+30+3114</f>
        <v>155973.72999999998</v>
      </c>
      <c r="K604" s="104">
        <f>SUM(H604:J604)</f>
        <v>308548.39999999997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80588.7</v>
      </c>
      <c r="I605" s="108">
        <f>SUM(I602:I604)</f>
        <v>71985.97</v>
      </c>
      <c r="J605" s="108">
        <f>SUM(J602:J604)</f>
        <v>155973.72999999998</v>
      </c>
      <c r="K605" s="108">
        <f>SUM(K602:K604)</f>
        <v>308548.39999999997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4037.75+31756.9</f>
        <v>35794.65</v>
      </c>
      <c r="G611" s="18">
        <f>849.37+4538.04</f>
        <v>5387.41</v>
      </c>
      <c r="H611" s="18"/>
      <c r="I611" s="18">
        <v>245.44</v>
      </c>
      <c r="J611" s="18"/>
      <c r="K611" s="18"/>
      <c r="L611" s="88">
        <f>SUM(F611:K611)</f>
        <v>41427.5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26464.09</v>
      </c>
      <c r="G612" s="18">
        <v>3781.7</v>
      </c>
      <c r="H612" s="18"/>
      <c r="I612" s="18"/>
      <c r="J612" s="18"/>
      <c r="K612" s="18"/>
      <c r="L612" s="88">
        <f>SUM(F612:K612)</f>
        <v>30245.79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f>29992.63+1485</f>
        <v>31477.63</v>
      </c>
      <c r="G613" s="18">
        <f>4285.92+371.41</f>
        <v>4657.33</v>
      </c>
      <c r="H613" s="18"/>
      <c r="I613" s="18"/>
      <c r="J613" s="18"/>
      <c r="K613" s="18"/>
      <c r="L613" s="88">
        <f>SUM(F613:K613)</f>
        <v>36134.959999999999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1">SUM(F611:F613)</f>
        <v>93736.37000000001</v>
      </c>
      <c r="G614" s="108">
        <f t="shared" si="51"/>
        <v>13826.44</v>
      </c>
      <c r="H614" s="108">
        <f t="shared" si="51"/>
        <v>0</v>
      </c>
      <c r="I614" s="108">
        <f t="shared" si="51"/>
        <v>245.44</v>
      </c>
      <c r="J614" s="108">
        <f t="shared" si="51"/>
        <v>0</v>
      </c>
      <c r="K614" s="108">
        <f t="shared" si="51"/>
        <v>0</v>
      </c>
      <c r="L614" s="89">
        <f t="shared" si="51"/>
        <v>107808.25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0</v>
      </c>
      <c r="H617" s="109">
        <f>SUM(F52)</f>
        <v>0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1128964.0899999999</v>
      </c>
      <c r="H618" s="109">
        <f>SUM(G52)</f>
        <v>1128964.0900000003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603312.43999999994</v>
      </c>
      <c r="H619" s="109">
        <f>SUM(H52)</f>
        <v>603312.44000000006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0</v>
      </c>
      <c r="H621" s="109">
        <f>SUM(J52)</f>
        <v>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2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346532.32000000007</v>
      </c>
      <c r="H623" s="109">
        <f>G476</f>
        <v>346532.32000000007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603312.44000000006</v>
      </c>
      <c r="H624" s="109">
        <f>H476</f>
        <v>603312.44000000041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57795633.280000009</v>
      </c>
      <c r="H627" s="104">
        <f>SUM(F468)</f>
        <v>57795633.280000001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1484018.74</v>
      </c>
      <c r="H628" s="104">
        <f>SUM(G468)</f>
        <v>1484018.74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3300982.11</v>
      </c>
      <c r="H629" s="104">
        <f>SUM(H468)</f>
        <v>3300982.1100000003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42463591.039999999</v>
      </c>
      <c r="H630" s="104">
        <f>SUM(I468)</f>
        <v>42463591.039999999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56985993.579999998</v>
      </c>
      <c r="H632" s="104">
        <f>SUM(F472)</f>
        <v>56985993.579999998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3315687.67</v>
      </c>
      <c r="H633" s="104">
        <f>SUM(H472)</f>
        <v>3315687.67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95605.34</v>
      </c>
      <c r="H634" s="104">
        <f>I369</f>
        <v>95605.34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1521631.12</v>
      </c>
      <c r="H635" s="104">
        <f>SUM(G472)</f>
        <v>1521631.1199999999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42233591.039999999</v>
      </c>
      <c r="H636" s="104">
        <f>SUM(I472)</f>
        <v>42233591.039999999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2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2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2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854</v>
      </c>
      <c r="J642" s="109">
        <f t="shared" si="52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2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2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2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2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2722138.61</v>
      </c>
      <c r="H647" s="104">
        <f>L208+L226+L244</f>
        <v>2722138.61</v>
      </c>
      <c r="I647" s="140" t="s">
        <v>394</v>
      </c>
      <c r="J647" s="109">
        <f t="shared" si="52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308548.39999999997</v>
      </c>
      <c r="H648" s="104">
        <f>(J257+J338)-(J255+J336)</f>
        <v>308548.39999999997</v>
      </c>
      <c r="I648" s="140" t="s">
        <v>697</v>
      </c>
      <c r="J648" s="109">
        <f t="shared" si="52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850118.75999999989</v>
      </c>
      <c r="H649" s="104">
        <f>H598</f>
        <v>850118.75999999989</v>
      </c>
      <c r="I649" s="140" t="s">
        <v>386</v>
      </c>
      <c r="J649" s="109">
        <f t="shared" si="52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951588.67999999993</v>
      </c>
      <c r="H650" s="104">
        <f>I598</f>
        <v>951588.68</v>
      </c>
      <c r="I650" s="140" t="s">
        <v>387</v>
      </c>
      <c r="J650" s="109">
        <f t="shared" si="52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920431.17</v>
      </c>
      <c r="H651" s="104">
        <f>J598</f>
        <v>920431.17</v>
      </c>
      <c r="I651" s="140" t="s">
        <v>388</v>
      </c>
      <c r="J651" s="109">
        <f t="shared" si="52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50628.38</v>
      </c>
      <c r="H652" s="104">
        <f>K263+K345</f>
        <v>50628.38</v>
      </c>
      <c r="I652" s="140" t="s">
        <v>395</v>
      </c>
      <c r="J652" s="109">
        <f t="shared" si="52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14573</v>
      </c>
      <c r="H653" s="104">
        <f>K264</f>
        <v>14573</v>
      </c>
      <c r="I653" s="140" t="s">
        <v>396</v>
      </c>
      <c r="J653" s="109">
        <f t="shared" si="52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230000</v>
      </c>
      <c r="H654" s="104">
        <f>K265+K346</f>
        <v>230000</v>
      </c>
      <c r="I654" s="140" t="s">
        <v>397</v>
      </c>
      <c r="J654" s="109">
        <f t="shared" si="52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2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20001322.960000001</v>
      </c>
      <c r="G660" s="19">
        <f>(L229+L309+L359)</f>
        <v>14936454.73</v>
      </c>
      <c r="H660" s="19">
        <f>(L247+L328+L360)</f>
        <v>19327988.339999996</v>
      </c>
      <c r="I660" s="19">
        <f>SUM(F660:H660)</f>
        <v>54265766.029999994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264497.747530867</v>
      </c>
      <c r="G661" s="19">
        <f>(L359/IF(SUM(L358:L360)=0,1,SUM(L358:L360))*(SUM(G97:G110)))</f>
        <v>193011.86677248558</v>
      </c>
      <c r="H661" s="19">
        <f>(L360/IF(SUM(L358:L360)=0,1,SUM(L358:L360))*(SUM(G97:G110)))</f>
        <v>257349.15569664745</v>
      </c>
      <c r="I661" s="19">
        <f>SUM(F661:H661)</f>
        <v>714858.77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854378.91999999993</v>
      </c>
      <c r="G662" s="19">
        <f>(L226+L306)-(J226+J306)</f>
        <v>951805.48</v>
      </c>
      <c r="H662" s="19">
        <f>(L244+L325)-(J244+J325)</f>
        <v>923867.29</v>
      </c>
      <c r="I662" s="19">
        <f>SUM(F662:H662)</f>
        <v>2730051.69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447314.37</v>
      </c>
      <c r="G663" s="199">
        <f>SUM(G575:G587)+SUM(I602:I604)+L612</f>
        <v>1053705.95</v>
      </c>
      <c r="H663" s="199">
        <f>SUM(H575:H587)+SUM(J602:J604)+L613</f>
        <v>897431.66</v>
      </c>
      <c r="I663" s="19">
        <f>SUM(F663:H663)</f>
        <v>2398451.98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18435131.922469135</v>
      </c>
      <c r="G664" s="19">
        <f>G660-SUM(G661:G663)</f>
        <v>12737931.433227515</v>
      </c>
      <c r="H664" s="19">
        <f>H660-SUM(H661:H663)</f>
        <v>17249340.234303348</v>
      </c>
      <c r="I664" s="19">
        <f>I660-SUM(I661:I663)</f>
        <v>48422403.589999996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1416.51</v>
      </c>
      <c r="G665" s="248">
        <v>1200</v>
      </c>
      <c r="H665" s="248">
        <v>1305.52</v>
      </c>
      <c r="I665" s="19">
        <f>SUM(F665:H665)</f>
        <v>3922.03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13014.47</v>
      </c>
      <c r="G667" s="19">
        <f>ROUND(G664/G665,2)</f>
        <v>10614.94</v>
      </c>
      <c r="H667" s="19">
        <f>ROUND(H664/H665,2)</f>
        <v>13212.62</v>
      </c>
      <c r="I667" s="19">
        <f>ROUND(I664/I665,2)</f>
        <v>12346.26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35.840000000000003</v>
      </c>
      <c r="I670" s="19">
        <f>SUM(F670:H670)</f>
        <v>35.840000000000003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13014.47</v>
      </c>
      <c r="G672" s="19">
        <f>ROUND((G664+G669)/(G665+G670),2)</f>
        <v>10614.94</v>
      </c>
      <c r="H672" s="19">
        <f>ROUND((H664+H669)/(H665+H670),2)</f>
        <v>12859.59</v>
      </c>
      <c r="I672" s="19">
        <f>ROUND((I664+I669)/(I665+I670),2)</f>
        <v>12234.46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zoomScale="140" zoomScaleNormal="140" workbookViewId="0">
      <selection activeCell="H22" sqref="H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Dover School District, SAU#11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13875055.769999998</v>
      </c>
      <c r="C9" s="229">
        <f>'DOE25'!G197+'DOE25'!G215+'DOE25'!G233+'DOE25'!G276+'DOE25'!G295+'DOE25'!G314</f>
        <v>7395632.5899999999</v>
      </c>
    </row>
    <row r="10" spans="1:3" x14ac:dyDescent="0.2">
      <c r="A10" t="s">
        <v>773</v>
      </c>
      <c r="B10" s="240">
        <f>11334554.42+708345.8+295361.56+3595.5+1485+70216+66749.27+3593+0.02+19411+114712.97</f>
        <v>12618024.540000001</v>
      </c>
      <c r="C10" s="240">
        <f>6492303.33+441002.98+22911.42+889.69+371.41+37219.82+16393.34+889.62+2488.15+3377.83+58661.4</f>
        <v>7076508.9900000021</v>
      </c>
    </row>
    <row r="11" spans="1:3" x14ac:dyDescent="0.2">
      <c r="A11" t="s">
        <v>774</v>
      </c>
      <c r="B11" s="240">
        <f>364390.5+277919.51+550+550+2797.89+275997.19</f>
        <v>922205.09000000008</v>
      </c>
      <c r="C11" s="240">
        <f>122573.19+40762.14+42.07+36.24+132.89+48493.12</f>
        <v>212039.65000000002</v>
      </c>
    </row>
    <row r="12" spans="1:3" x14ac:dyDescent="0.2">
      <c r="A12" t="s">
        <v>775</v>
      </c>
      <c r="B12" s="240">
        <f>217946.29+22650.4+94229.45</f>
        <v>334826.14</v>
      </c>
      <c r="C12" s="240">
        <f>6863.04+34168.68+4372.5+1769.2+59910.53</f>
        <v>107083.95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13875055.770000001</v>
      </c>
      <c r="C13" s="231">
        <f>SUM(C10:C12)</f>
        <v>7395632.5900000026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6168335.6600000011</v>
      </c>
      <c r="C18" s="229">
        <f>'DOE25'!G198+'DOE25'!G216+'DOE25'!G234+'DOE25'!G277+'DOE25'!G296+'DOE25'!G315</f>
        <v>2299280.19</v>
      </c>
    </row>
    <row r="19" spans="1:3" x14ac:dyDescent="0.2">
      <c r="A19" t="s">
        <v>773</v>
      </c>
      <c r="B19" s="240">
        <f>677577.79+175890.39+238539.96+238922.07+1091321.82+115557+43170.33+9240.8+1065.77+155652.38+64817.2+221372.59+13178.85-0.01</f>
        <v>3046306.9400000004</v>
      </c>
      <c r="C19" s="240">
        <f>667052.71+145966.62+597822.8+82233.23+8967.35+2557.7+63673.38+43108.56+99021.63+7284.07</f>
        <v>1717688.05</v>
      </c>
    </row>
    <row r="20" spans="1:3" x14ac:dyDescent="0.2">
      <c r="A20" t="s">
        <v>774</v>
      </c>
      <c r="B20" s="240">
        <f>2280895+99566.42+22627.78+67568.8+17940+151259.4+45043.29+7698.16+4253.5+19341.02+66606.37</f>
        <v>2782799.7399999998</v>
      </c>
      <c r="C20" s="240">
        <f>362466.04+12138.11+1354.18+11559.17+3638.31+588.79+411.42+12737.5+12120.75</f>
        <v>417014.2699999999</v>
      </c>
    </row>
    <row r="21" spans="1:3" x14ac:dyDescent="0.2">
      <c r="A21" t="s">
        <v>775</v>
      </c>
      <c r="B21" s="240">
        <f>278740.74+58564.51+1000+900+23.73</f>
        <v>339228.98</v>
      </c>
      <c r="C21" s="240">
        <f>154605.46+9707.88+190.3+68.3+5.93</f>
        <v>164577.86999999997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6168335.6600000001</v>
      </c>
      <c r="C22" s="231">
        <f>SUM(C19:C21)</f>
        <v>2299280.19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1048505.5</v>
      </c>
      <c r="C27" s="234">
        <f>'DOE25'!G199+'DOE25'!G217+'DOE25'!G235+'DOE25'!G278+'DOE25'!G297+'DOE25'!G316</f>
        <v>549201.49</v>
      </c>
    </row>
    <row r="28" spans="1:3" x14ac:dyDescent="0.2">
      <c r="A28" t="s">
        <v>773</v>
      </c>
      <c r="B28" s="240">
        <f>26310+808416.8+72619+617</f>
        <v>907962.8</v>
      </c>
      <c r="C28" s="240">
        <f>2027.92+485244.86+571.04</f>
        <v>487843.81999999995</v>
      </c>
    </row>
    <row r="29" spans="1:3" x14ac:dyDescent="0.2">
      <c r="A29" t="s">
        <v>774</v>
      </c>
      <c r="B29" s="240">
        <v>0</v>
      </c>
      <c r="C29" s="240">
        <v>0</v>
      </c>
    </row>
    <row r="30" spans="1:3" x14ac:dyDescent="0.2">
      <c r="A30" t="s">
        <v>775</v>
      </c>
      <c r="B30" s="240">
        <f>90652.5+41257.2+1600+1683+450+4900</f>
        <v>140542.70000000001</v>
      </c>
      <c r="C30" s="240">
        <f>33026.04+27624.01+299.02+33.52+375.08</f>
        <v>61357.67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1048505.5</v>
      </c>
      <c r="C31" s="231">
        <f>SUM(C28:C30)</f>
        <v>549201.49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348143.43</v>
      </c>
      <c r="C36" s="235">
        <f>'DOE25'!G200+'DOE25'!G218+'DOE25'!G236+'DOE25'!G279+'DOE25'!G298+'DOE25'!G317</f>
        <v>121507.54000000001</v>
      </c>
    </row>
    <row r="37" spans="1:3" x14ac:dyDescent="0.2">
      <c r="A37" t="s">
        <v>773</v>
      </c>
      <c r="B37" s="240">
        <f>4037.75+2891.85</f>
        <v>6929.6</v>
      </c>
      <c r="C37" s="240">
        <f>308.86+540.51</f>
        <v>849.37</v>
      </c>
    </row>
    <row r="38" spans="1:3" x14ac:dyDescent="0.2">
      <c r="A38" t="s">
        <v>774</v>
      </c>
      <c r="B38" s="240">
        <f>3019.77</f>
        <v>3019.77</v>
      </c>
      <c r="C38" s="240">
        <f>692.02</f>
        <v>692.02</v>
      </c>
    </row>
    <row r="39" spans="1:3" x14ac:dyDescent="0.2">
      <c r="A39" t="s">
        <v>775</v>
      </c>
      <c r="B39" s="240">
        <f>2008+107110.85+550+31431.2+550+167923.01+300+28321</f>
        <v>338194.06000000006</v>
      </c>
      <c r="C39" s="240">
        <f>97.62+9.98+20.19+6.45+18.6+11.46+14.93+43.4+54878.01+136.53+33485.94+103.78+24228.29+559.69+6351.28</f>
        <v>119966.15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348143.43000000005</v>
      </c>
      <c r="C40" s="231">
        <f>SUM(C37:C39)</f>
        <v>121507.54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Dover School District, SAU#11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33661614.279999994</v>
      </c>
      <c r="D5" s="20">
        <f>SUM('DOE25'!L197:L200)+SUM('DOE25'!L215:L218)+SUM('DOE25'!L233:L236)-F5-G5</f>
        <v>33485648.969999995</v>
      </c>
      <c r="E5" s="243"/>
      <c r="F5" s="255">
        <f>SUM('DOE25'!J197:J200)+SUM('DOE25'!J215:J218)+SUM('DOE25'!J233:J236)</f>
        <v>74717.8</v>
      </c>
      <c r="G5" s="53">
        <f>SUM('DOE25'!K197:K200)+SUM('DOE25'!K215:K218)+SUM('DOE25'!K233:K236)</f>
        <v>101247.51000000001</v>
      </c>
      <c r="H5" s="259"/>
    </row>
    <row r="6" spans="1:9" x14ac:dyDescent="0.2">
      <c r="A6" s="32">
        <v>2100</v>
      </c>
      <c r="B6" t="s">
        <v>795</v>
      </c>
      <c r="C6" s="245">
        <f t="shared" si="0"/>
        <v>3648398.99</v>
      </c>
      <c r="D6" s="20">
        <f>'DOE25'!L202+'DOE25'!L220+'DOE25'!L238-F6-G6</f>
        <v>3648014.14</v>
      </c>
      <c r="E6" s="243"/>
      <c r="F6" s="255">
        <f>'DOE25'!J202+'DOE25'!J220+'DOE25'!J238</f>
        <v>384.85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964699.06000000017</v>
      </c>
      <c r="D7" s="20">
        <f>'DOE25'!L203+'DOE25'!L221+'DOE25'!L239-F7-G7</f>
        <v>963574.37000000023</v>
      </c>
      <c r="E7" s="243"/>
      <c r="F7" s="255">
        <f>'DOE25'!J203+'DOE25'!J221+'DOE25'!J239</f>
        <v>351.69</v>
      </c>
      <c r="G7" s="53">
        <f>'DOE25'!K203+'DOE25'!K221+'DOE25'!K239</f>
        <v>773</v>
      </c>
      <c r="H7" s="259"/>
    </row>
    <row r="8" spans="1:9" x14ac:dyDescent="0.2">
      <c r="A8" s="32">
        <v>2300</v>
      </c>
      <c r="B8" t="s">
        <v>796</v>
      </c>
      <c r="C8" s="245">
        <f t="shared" si="0"/>
        <v>1054353.08</v>
      </c>
      <c r="D8" s="243"/>
      <c r="E8" s="20">
        <f>'DOE25'!L204+'DOE25'!L222+'DOE25'!L240-F8-G8-D9-D11</f>
        <v>1035530.26</v>
      </c>
      <c r="F8" s="255">
        <f>'DOE25'!J204+'DOE25'!J222+'DOE25'!J240</f>
        <v>0</v>
      </c>
      <c r="G8" s="53">
        <f>'DOE25'!K204+'DOE25'!K222+'DOE25'!K240</f>
        <v>18822.82</v>
      </c>
      <c r="H8" s="259"/>
    </row>
    <row r="9" spans="1:9" x14ac:dyDescent="0.2">
      <c r="A9" s="32">
        <v>2310</v>
      </c>
      <c r="B9" t="s">
        <v>812</v>
      </c>
      <c r="C9" s="245">
        <f t="shared" si="0"/>
        <v>85539.49</v>
      </c>
      <c r="D9" s="244">
        <f>79288.55+6250.94</f>
        <v>85539.49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20043</v>
      </c>
      <c r="D10" s="243"/>
      <c r="E10" s="244">
        <v>20043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206592.21000000002</v>
      </c>
      <c r="D11" s="244">
        <f>66685.96+139906.25</f>
        <v>206592.21000000002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2616560.7599999998</v>
      </c>
      <c r="D12" s="20">
        <f>'DOE25'!L205+'DOE25'!L223+'DOE25'!L241-F12-G12</f>
        <v>2605929.7899999996</v>
      </c>
      <c r="E12" s="243"/>
      <c r="F12" s="255">
        <f>'DOE25'!J205+'DOE25'!J223+'DOE25'!J241</f>
        <v>0</v>
      </c>
      <c r="G12" s="53">
        <f>'DOE25'!K205+'DOE25'!K223+'DOE25'!K241</f>
        <v>10630.970000000001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4390995.6599999992</v>
      </c>
      <c r="D14" s="20">
        <f>'DOE25'!L207+'DOE25'!L225+'DOE25'!L243-F14-G14</f>
        <v>4372956.8999999994</v>
      </c>
      <c r="E14" s="243"/>
      <c r="F14" s="255">
        <f>'DOE25'!J207+'DOE25'!J225+'DOE25'!J243</f>
        <v>18038.760000000002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2722138.61</v>
      </c>
      <c r="D15" s="20">
        <f>'DOE25'!L208+'DOE25'!L226+'DOE25'!L244-F15-G15</f>
        <v>2722138.61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1152432.1499999999</v>
      </c>
      <c r="D16" s="243"/>
      <c r="E16" s="20">
        <f>'DOE25'!L209+'DOE25'!L227+'DOE25'!L245-F16-G16</f>
        <v>1023176.2</v>
      </c>
      <c r="F16" s="255">
        <f>'DOE25'!J209+'DOE25'!J227+'DOE25'!J245</f>
        <v>126299.45000000001</v>
      </c>
      <c r="G16" s="53">
        <f>'DOE25'!K209+'DOE25'!K227+'DOE25'!K245</f>
        <v>2956.5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211631.35999999999</v>
      </c>
      <c r="D17" s="20">
        <f>'DOE25'!L251-F17-G17</f>
        <v>211631.35999999999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5975836.5499999998</v>
      </c>
      <c r="D25" s="243"/>
      <c r="E25" s="243"/>
      <c r="F25" s="258"/>
      <c r="G25" s="256"/>
      <c r="H25" s="257">
        <f>'DOE25'!L260+'DOE25'!L261+'DOE25'!L341+'DOE25'!L342</f>
        <v>5975836.5499999998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1427701.81</v>
      </c>
      <c r="D29" s="20">
        <f>'DOE25'!L358+'DOE25'!L359+'DOE25'!L360-'DOE25'!I367-F29-G29</f>
        <v>1402033.0100000002</v>
      </c>
      <c r="E29" s="243"/>
      <c r="F29" s="255">
        <f>'DOE25'!J358+'DOE25'!J359+'DOE25'!J360</f>
        <v>24967.15</v>
      </c>
      <c r="G29" s="53">
        <f>'DOE25'!K358+'DOE25'!K359+'DOE25'!K360</f>
        <v>701.65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3141116.52</v>
      </c>
      <c r="D31" s="20">
        <f>'DOE25'!L290+'DOE25'!L309+'DOE25'!L328+'DOE25'!L333+'DOE25'!L334+'DOE25'!L335-F31-G31</f>
        <v>2938005.85</v>
      </c>
      <c r="E31" s="243"/>
      <c r="F31" s="255">
        <f>'DOE25'!J290+'DOE25'!J309+'DOE25'!J328+'DOE25'!J333+'DOE25'!J334+'DOE25'!J335</f>
        <v>79597.849999999991</v>
      </c>
      <c r="G31" s="53">
        <f>'DOE25'!K290+'DOE25'!K309+'DOE25'!K328+'DOE25'!K333+'DOE25'!K334+'DOE25'!K335</f>
        <v>123512.82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52642064.699999988</v>
      </c>
      <c r="E33" s="246">
        <f>SUM(E5:E31)</f>
        <v>2078749.46</v>
      </c>
      <c r="F33" s="246">
        <f>SUM(F5:F31)</f>
        <v>324357.55</v>
      </c>
      <c r="G33" s="246">
        <f>SUM(G5:G31)</f>
        <v>258645.27000000002</v>
      </c>
      <c r="H33" s="246">
        <f>SUM(H5:H31)</f>
        <v>5975836.5499999998</v>
      </c>
    </row>
    <row r="35" spans="2:8" ht="12" thickBot="1" x14ac:dyDescent="0.25">
      <c r="B35" s="253" t="s">
        <v>841</v>
      </c>
      <c r="D35" s="254">
        <f>E33</f>
        <v>2078749.46</v>
      </c>
      <c r="E35" s="249"/>
    </row>
    <row r="36" spans="2:8" ht="12" thickTop="1" x14ac:dyDescent="0.2">
      <c r="B36" t="s">
        <v>809</v>
      </c>
      <c r="D36" s="20">
        <f>D33</f>
        <v>52642064.699999988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10" zoomScaleNormal="110" workbookViewId="0">
      <pane ySplit="2" topLeftCell="A132" activePane="bottomLeft" state="frozen"/>
      <selection activeCell="F46" sqref="F46"/>
      <selection pane="bottomLeft" activeCell="D171" sqref="D17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Dover School District, SAU#11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126909.96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895201.1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51094.05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55758.98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603312.43999999994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1128964.0899999999</v>
      </c>
      <c r="E18" s="41">
        <f>SUM(E8:E17)</f>
        <v>603312.43999999994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669220.25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226.43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730.29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112254.8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782431.77000000014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55758.97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212986.44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581757.81000000006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77786.91</v>
      </c>
      <c r="E48" s="95">
        <f>'DOE25'!H49</f>
        <v>21554.63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0</v>
      </c>
      <c r="D50" s="41">
        <f>SUM(D34:D49)</f>
        <v>346532.32000000007</v>
      </c>
      <c r="E50" s="41">
        <f>SUM(E34:E49)</f>
        <v>603312.44000000006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0</v>
      </c>
      <c r="D51" s="41">
        <f>D50+D31</f>
        <v>1128964.0900000003</v>
      </c>
      <c r="E51" s="41">
        <f>E50+E31</f>
        <v>603312.44000000006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34479983.859999999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3899529.06</v>
      </c>
      <c r="D57" s="24" t="s">
        <v>286</v>
      </c>
      <c r="E57" s="95">
        <f>'DOE25'!H79</f>
        <v>98690.240000000005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65647.489999999991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714858.77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245586.08000000002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3965176.55</v>
      </c>
      <c r="D62" s="130">
        <f>SUM(D57:D61)</f>
        <v>714858.77</v>
      </c>
      <c r="E62" s="130">
        <f>SUM(E57:E61)</f>
        <v>344276.32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38445160.409999996</v>
      </c>
      <c r="D63" s="22">
        <f>D56+D62</f>
        <v>714858.77</v>
      </c>
      <c r="E63" s="22">
        <f>E56+E62</f>
        <v>344276.32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9168938.8000000007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6894236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41408.130000000005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16104582.930000002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616673.13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304264.59999999998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247007.92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25167.99</v>
      </c>
      <c r="E77" s="95">
        <f>SUM('DOE25'!H131:H135)</f>
        <v>192138.54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1167945.6499999999</v>
      </c>
      <c r="D78" s="130">
        <f>SUM(D72:D77)</f>
        <v>25167.99</v>
      </c>
      <c r="E78" s="130">
        <f>SUM(E72:E77)</f>
        <v>192138.54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17272528.580000002</v>
      </c>
      <c r="D81" s="130">
        <f>SUM(D79:D80)+D78+D70</f>
        <v>25167.99</v>
      </c>
      <c r="E81" s="130">
        <f>SUM(E79:E80)+E78+E70</f>
        <v>192138.54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45402.579999999994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564744.71</v>
      </c>
      <c r="D88" s="95">
        <f>SUM('DOE25'!G153:G161)</f>
        <v>693363.60000000009</v>
      </c>
      <c r="E88" s="95">
        <f>SUM('DOE25'!H153:H161)</f>
        <v>2749994.25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610147.28999999992</v>
      </c>
      <c r="D91" s="131">
        <f>SUM(D85:D90)</f>
        <v>693363.60000000009</v>
      </c>
      <c r="E91" s="131">
        <f>SUM(E85:E90)</f>
        <v>2749994.25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42233591.039999999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50628.38</v>
      </c>
      <c r="E96" s="95">
        <f>'DOE25'!H179</f>
        <v>14573</v>
      </c>
      <c r="F96" s="95">
        <f>'DOE25'!I179</f>
        <v>230000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1467797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1467797</v>
      </c>
      <c r="D103" s="86">
        <f>SUM(D93:D102)</f>
        <v>50628.38</v>
      </c>
      <c r="E103" s="86">
        <f>SUM(E93:E102)</f>
        <v>14573</v>
      </c>
      <c r="F103" s="86">
        <f>SUM(F93:F102)</f>
        <v>42463591.039999999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57795633.279999994</v>
      </c>
      <c r="D104" s="86">
        <f>D63+D81+D91+D103</f>
        <v>1484018.74</v>
      </c>
      <c r="E104" s="86">
        <f>E63+E81+E91+E103</f>
        <v>3300982.11</v>
      </c>
      <c r="F104" s="86">
        <f>F63+F81+F91+F103</f>
        <v>42463591.039999999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20902379.839999996</v>
      </c>
      <c r="D109" s="24" t="s">
        <v>286</v>
      </c>
      <c r="E109" s="95">
        <f>('DOE25'!L276)+('DOE25'!L295)+('DOE25'!L314)</f>
        <v>703726.27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10403396.16</v>
      </c>
      <c r="D110" s="24" t="s">
        <v>286</v>
      </c>
      <c r="E110" s="95">
        <f>('DOE25'!L277)+('DOE25'!L296)+('DOE25'!L315)</f>
        <v>832287.54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1714849.3900000001</v>
      </c>
      <c r="D111" s="24" t="s">
        <v>286</v>
      </c>
      <c r="E111" s="95">
        <f>('DOE25'!L278)+('DOE25'!L297)+('DOE25'!L316)</f>
        <v>158066.72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640988.89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174571.15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211631.35999999999</v>
      </c>
      <c r="D114" s="24" t="s">
        <v>286</v>
      </c>
      <c r="E114" s="95">
        <f>+ SUM('DOE25'!L333:L335)</f>
        <v>900305.9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33873245.639999993</v>
      </c>
      <c r="D115" s="86">
        <f>SUM(D109:D114)</f>
        <v>0</v>
      </c>
      <c r="E115" s="86">
        <f>SUM(E109:E114)</f>
        <v>2768957.58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3648398.99</v>
      </c>
      <c r="D118" s="24" t="s">
        <v>286</v>
      </c>
      <c r="E118" s="95">
        <f>+('DOE25'!L281)+('DOE25'!L300)+('DOE25'!L319)</f>
        <v>103045.21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964699.06000000017</v>
      </c>
      <c r="D119" s="24" t="s">
        <v>286</v>
      </c>
      <c r="E119" s="95">
        <f>+('DOE25'!L282)+('DOE25'!L301)+('DOE25'!L320)</f>
        <v>293497.86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1346484.78</v>
      </c>
      <c r="D120" s="24" t="s">
        <v>286</v>
      </c>
      <c r="E120" s="95">
        <f>+('DOE25'!L283)+('DOE25'!L302)+('DOE25'!L321)</f>
        <v>21436.199999999997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2616560.7599999998</v>
      </c>
      <c r="D121" s="24" t="s">
        <v>286</v>
      </c>
      <c r="E121" s="95">
        <f>+('DOE25'!L284)+('DOE25'!L303)+('DOE25'!L322)</f>
        <v>35553.700000000004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4390995.6599999992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2722138.61</v>
      </c>
      <c r="D124" s="24" t="s">
        <v>286</v>
      </c>
      <c r="E124" s="95">
        <f>+('DOE25'!L287)+('DOE25'!L306)+('DOE25'!L325)</f>
        <v>7913.08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1152432.1499999999</v>
      </c>
      <c r="D125" s="24" t="s">
        <v>286</v>
      </c>
      <c r="E125" s="95">
        <f>+('DOE25'!L288)+('DOE25'!L307)+('DOE25'!L326)</f>
        <v>85284.040000000008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1521631.12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16841710.009999998</v>
      </c>
      <c r="D128" s="86">
        <f>SUM(D118:D127)</f>
        <v>1521631.12</v>
      </c>
      <c r="E128" s="86">
        <f>SUM(E118:E127)</f>
        <v>546730.09000000008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42233591.039999999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2007770.68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3968065.87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50628.38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14573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230000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6271037.9299999997</v>
      </c>
      <c r="D144" s="141">
        <f>SUM(D130:D143)</f>
        <v>0</v>
      </c>
      <c r="E144" s="141">
        <f>SUM(E130:E143)</f>
        <v>0</v>
      </c>
      <c r="F144" s="141">
        <f>SUM(F130:F143)</f>
        <v>42233591.039999999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56985993.579999991</v>
      </c>
      <c r="D145" s="86">
        <f>(D115+D128+D144)</f>
        <v>1521631.12</v>
      </c>
      <c r="E145" s="86">
        <f>(E115+E128+E144)</f>
        <v>3315687.67</v>
      </c>
      <c r="F145" s="86">
        <f>(F115+F128+F144)</f>
        <v>42233591.039999999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88441955.989999995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88441955.989999995</v>
      </c>
    </row>
    <row r="157" spans="1:9" x14ac:dyDescent="0.2">
      <c r="A157" s="22" t="s">
        <v>33</v>
      </c>
      <c r="B157" s="137">
        <f>'DOE25'!F496</f>
        <v>2403143.4700000002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2403143.4700000002</v>
      </c>
    </row>
    <row r="158" spans="1:9" x14ac:dyDescent="0.2">
      <c r="A158" s="22" t="s">
        <v>34</v>
      </c>
      <c r="B158" s="137">
        <f>'DOE25'!F497</f>
        <v>8407770.6799999997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8407770.6799999997</v>
      </c>
    </row>
    <row r="159" spans="1:9" x14ac:dyDescent="0.2">
      <c r="A159" s="22" t="s">
        <v>35</v>
      </c>
      <c r="B159" s="137">
        <f>'DOE25'!F498</f>
        <v>85637328.780000001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85637328.780000001</v>
      </c>
    </row>
    <row r="160" spans="1:9" x14ac:dyDescent="0.2">
      <c r="A160" s="22" t="s">
        <v>36</v>
      </c>
      <c r="B160" s="137">
        <f>'DOE25'!F499</f>
        <v>41557191.789999999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41557191.789999999</v>
      </c>
    </row>
    <row r="161" spans="1:7" x14ac:dyDescent="0.2">
      <c r="A161" s="22" t="s">
        <v>37</v>
      </c>
      <c r="B161" s="137">
        <f>'DOE25'!F500</f>
        <v>127194520.56999999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127194520.56999999</v>
      </c>
    </row>
    <row r="162" spans="1:7" x14ac:dyDescent="0.2">
      <c r="A162" s="22" t="s">
        <v>38</v>
      </c>
      <c r="B162" s="137">
        <f>'DOE25'!F501</f>
        <v>1891205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1891205</v>
      </c>
    </row>
    <row r="163" spans="1:7" x14ac:dyDescent="0.2">
      <c r="A163" s="22" t="s">
        <v>39</v>
      </c>
      <c r="B163" s="137">
        <f>'DOE25'!F502</f>
        <v>4084654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4084654</v>
      </c>
    </row>
    <row r="164" spans="1:7" x14ac:dyDescent="0.2">
      <c r="A164" s="22" t="s">
        <v>246</v>
      </c>
      <c r="B164" s="137">
        <f>'DOE25'!F503</f>
        <v>5975859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5975859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Dover School District, SAU#11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13014</v>
      </c>
    </row>
    <row r="5" spans="1:4" x14ac:dyDescent="0.2">
      <c r="B5" t="s">
        <v>698</v>
      </c>
      <c r="C5" s="179">
        <f>IF('DOE25'!G665+'DOE25'!G670=0,0,ROUND('DOE25'!G672,0))</f>
        <v>10615</v>
      </c>
    </row>
    <row r="6" spans="1:4" x14ac:dyDescent="0.2">
      <c r="B6" t="s">
        <v>62</v>
      </c>
      <c r="C6" s="179">
        <f>IF('DOE25'!H665+'DOE25'!H670=0,0,ROUND('DOE25'!H672,0))</f>
        <v>12860</v>
      </c>
    </row>
    <row r="7" spans="1:4" x14ac:dyDescent="0.2">
      <c r="B7" t="s">
        <v>699</v>
      </c>
      <c r="C7" s="179">
        <f>IF('DOE25'!I665+'DOE25'!I670=0,0,ROUND('DOE25'!I672,0))</f>
        <v>12234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21606106</v>
      </c>
      <c r="D10" s="182">
        <f>ROUND((C10/$C$28)*100,1)</f>
        <v>36.700000000000003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11235684</v>
      </c>
      <c r="D11" s="182">
        <f>ROUND((C11/$C$28)*100,1)</f>
        <v>19.100000000000001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1872916</v>
      </c>
      <c r="D12" s="182">
        <f>ROUND((C12/$C$28)*100,1)</f>
        <v>3.2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640989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3751444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1258197</v>
      </c>
      <c r="D16" s="182">
        <f t="shared" si="0"/>
        <v>2.1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2605637</v>
      </c>
      <c r="D17" s="182">
        <f t="shared" si="0"/>
        <v>4.4000000000000004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2652114</v>
      </c>
      <c r="D18" s="182">
        <f t="shared" si="0"/>
        <v>4.5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4390996</v>
      </c>
      <c r="D20" s="182">
        <f t="shared" si="0"/>
        <v>7.5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2730052</v>
      </c>
      <c r="D21" s="182">
        <f t="shared" si="0"/>
        <v>4.5999999999999996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174571</v>
      </c>
      <c r="D23" s="182">
        <f t="shared" si="0"/>
        <v>0.3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1111937</v>
      </c>
      <c r="D24" s="182">
        <f t="shared" si="0"/>
        <v>1.9</v>
      </c>
    </row>
    <row r="25" spans="1:4" x14ac:dyDescent="0.2">
      <c r="A25">
        <v>5120</v>
      </c>
      <c r="B25" t="s">
        <v>714</v>
      </c>
      <c r="C25" s="179">
        <f>ROUND('DOE25'!L261+'DOE25'!L342,0)</f>
        <v>3968066</v>
      </c>
      <c r="D25" s="182">
        <f t="shared" si="0"/>
        <v>6.7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806772.23</v>
      </c>
      <c r="D27" s="182">
        <f t="shared" si="0"/>
        <v>1.4</v>
      </c>
    </row>
    <row r="28" spans="1:4" x14ac:dyDescent="0.2">
      <c r="B28" s="187" t="s">
        <v>717</v>
      </c>
      <c r="C28" s="180">
        <f>SUM(C10:C27)</f>
        <v>58805481.229999997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42233591</v>
      </c>
    </row>
    <row r="30" spans="1:4" x14ac:dyDescent="0.2">
      <c r="B30" s="187" t="s">
        <v>723</v>
      </c>
      <c r="C30" s="180">
        <f>SUM(C28:C29)</f>
        <v>101039072.22999999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2007771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34479984</v>
      </c>
      <c r="D35" s="182">
        <f t="shared" ref="D35:D40" si="1">ROUND((C35/$C$41)*100,1)</f>
        <v>57.1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4309452.7300000042</v>
      </c>
      <c r="D36" s="182">
        <f t="shared" si="1"/>
        <v>7.1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16063175</v>
      </c>
      <c r="D37" s="182">
        <f t="shared" si="1"/>
        <v>26.6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1426660</v>
      </c>
      <c r="D38" s="182">
        <f t="shared" si="1"/>
        <v>2.4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4053505</v>
      </c>
      <c r="D39" s="182">
        <f t="shared" si="1"/>
        <v>6.7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60332776.730000004</v>
      </c>
      <c r="D41" s="184">
        <f>SUM(D35:D40)</f>
        <v>99.90000000000002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42233591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Dover School District, SAU#11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2018-08-17T15:21:58Z</cp:lastPrinted>
  <dcterms:created xsi:type="dcterms:W3CDTF">1997-12-04T19:04:30Z</dcterms:created>
  <dcterms:modified xsi:type="dcterms:W3CDTF">2018-12-03T18:38:08Z</dcterms:modified>
</cp:coreProperties>
</file>