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65" i="1" l="1"/>
  <c r="K266" i="1"/>
  <c r="F439" i="1"/>
  <c r="G396" i="1"/>
  <c r="J179" i="1"/>
  <c r="B19" i="12" l="1"/>
  <c r="B10" i="12" l="1"/>
  <c r="I48" i="1" l="1"/>
  <c r="F36" i="1"/>
  <c r="F12" i="1"/>
  <c r="H22" i="1"/>
  <c r="G22" i="1"/>
  <c r="G197" i="1" l="1"/>
  <c r="G459" i="1" l="1"/>
  <c r="F459" i="1"/>
  <c r="H397" i="1"/>
  <c r="H396" i="1"/>
  <c r="F368" i="1" l="1"/>
  <c r="F367" i="1"/>
  <c r="I358" i="1"/>
  <c r="G132" i="1"/>
  <c r="H202" i="1" l="1"/>
  <c r="H198" i="1"/>
  <c r="G276" i="1" l="1"/>
  <c r="F205" i="1"/>
  <c r="G207" i="1"/>
  <c r="F207" i="1"/>
  <c r="H204" i="1" l="1"/>
  <c r="H526" i="1" l="1"/>
  <c r="G526" i="1"/>
  <c r="I526" i="1"/>
  <c r="F526" i="1"/>
  <c r="H528" i="1"/>
  <c r="H527" i="1"/>
  <c r="K523" i="1" l="1"/>
  <c r="J523" i="1"/>
  <c r="I523" i="1"/>
  <c r="H523" i="1"/>
  <c r="G523" i="1"/>
  <c r="F523" i="1"/>
  <c r="K522" i="1"/>
  <c r="J522" i="1"/>
  <c r="I522" i="1"/>
  <c r="H522" i="1"/>
  <c r="G522" i="1"/>
  <c r="F522" i="1"/>
  <c r="K521" i="1"/>
  <c r="J521" i="1"/>
  <c r="I521" i="1"/>
  <c r="H521" i="1"/>
  <c r="G521" i="1"/>
  <c r="F521" i="1"/>
  <c r="H208" i="1"/>
  <c r="H200" i="1" l="1"/>
  <c r="I203" i="1"/>
  <c r="H203" i="1"/>
  <c r="H244" i="1"/>
  <c r="H226" i="1"/>
  <c r="I207" i="1"/>
  <c r="H207" i="1"/>
  <c r="K205" i="1"/>
  <c r="I205" i="1"/>
  <c r="H205" i="1"/>
  <c r="F204" i="1"/>
  <c r="G204" i="1"/>
  <c r="I204" i="1"/>
  <c r="K204" i="1"/>
  <c r="J203" i="1" l="1"/>
  <c r="G203" i="1"/>
  <c r="F203" i="1"/>
  <c r="G202" i="1"/>
  <c r="I202" i="1"/>
  <c r="F202" i="1"/>
  <c r="H238" i="1"/>
  <c r="H220" i="1"/>
  <c r="K202" i="1"/>
  <c r="G198" i="1"/>
  <c r="H234" i="1"/>
  <c r="J198" i="1"/>
  <c r="H216" i="1"/>
  <c r="I198" i="1"/>
  <c r="F198" i="1"/>
  <c r="J197" i="1"/>
  <c r="I197" i="1"/>
  <c r="H197" i="1"/>
  <c r="F197" i="1"/>
  <c r="F29" i="1"/>
  <c r="I468" i="1" l="1"/>
  <c r="H468" i="1"/>
  <c r="I277" i="1"/>
  <c r="G277" i="1"/>
  <c r="F277" i="1"/>
  <c r="K276" i="1"/>
  <c r="F276" i="1"/>
  <c r="I276" i="1"/>
  <c r="G282" i="1"/>
  <c r="F282" i="1"/>
  <c r="J281" i="1"/>
  <c r="K282" i="1"/>
  <c r="H159" i="1"/>
  <c r="H154" i="1"/>
  <c r="H155" i="1"/>
  <c r="H358" i="1"/>
  <c r="C45" i="2" l="1"/>
  <c r="G51" i="1"/>
  <c r="C37" i="10" l="1"/>
  <c r="F40" i="2" l="1"/>
  <c r="D39" i="2"/>
  <c r="G655" i="1"/>
  <c r="F48" i="2"/>
  <c r="E48" i="2"/>
  <c r="D48" i="2"/>
  <c r="C48" i="2"/>
  <c r="F47" i="2"/>
  <c r="E47" i="2"/>
  <c r="D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C110" i="2" s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C119" i="2" s="1"/>
  <c r="F12" i="13"/>
  <c r="G12" i="13"/>
  <c r="L205" i="1"/>
  <c r="L223" i="1"/>
  <c r="L241" i="1"/>
  <c r="F14" i="13"/>
  <c r="G14" i="13"/>
  <c r="L207" i="1"/>
  <c r="L225" i="1"/>
  <c r="D14" i="13" s="1"/>
  <c r="C14" i="13" s="1"/>
  <c r="L243" i="1"/>
  <c r="F15" i="13"/>
  <c r="G15" i="13"/>
  <c r="L208" i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32" i="10" s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E56" i="2" s="1"/>
  <c r="I60" i="1"/>
  <c r="F56" i="2" s="1"/>
  <c r="F79" i="1"/>
  <c r="C57" i="2" s="1"/>
  <c r="F94" i="1"/>
  <c r="F111" i="1"/>
  <c r="G111" i="1"/>
  <c r="H79" i="1"/>
  <c r="H112" i="1" s="1"/>
  <c r="H94" i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E85" i="2" s="1"/>
  <c r="H162" i="1"/>
  <c r="I147" i="1"/>
  <c r="I162" i="1"/>
  <c r="C11" i="10"/>
  <c r="L250" i="1"/>
  <c r="L332" i="1"/>
  <c r="L254" i="1"/>
  <c r="L268" i="1"/>
  <c r="L269" i="1"/>
  <c r="L349" i="1"/>
  <c r="L350" i="1"/>
  <c r="I665" i="1"/>
  <c r="I670" i="1"/>
  <c r="G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H552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C113" i="2"/>
  <c r="E113" i="2"/>
  <c r="D115" i="2"/>
  <c r="F115" i="2"/>
  <c r="G115" i="2"/>
  <c r="E119" i="2"/>
  <c r="E120" i="2"/>
  <c r="E121" i="2"/>
  <c r="E123" i="2"/>
  <c r="E124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G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H183" i="1"/>
  <c r="I183" i="1"/>
  <c r="J183" i="1"/>
  <c r="J192" i="1" s="1"/>
  <c r="F188" i="1"/>
  <c r="F192" i="1" s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I401" i="1"/>
  <c r="F407" i="1"/>
  <c r="G407" i="1"/>
  <c r="H407" i="1"/>
  <c r="I407" i="1"/>
  <c r="F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I446" i="1"/>
  <c r="G642" i="1" s="1"/>
  <c r="F452" i="1"/>
  <c r="G452" i="1"/>
  <c r="H452" i="1"/>
  <c r="I452" i="1"/>
  <c r="F460" i="1"/>
  <c r="G460" i="1"/>
  <c r="H460" i="1"/>
  <c r="I460" i="1"/>
  <c r="F461" i="1"/>
  <c r="H639" i="1" s="1"/>
  <c r="G461" i="1"/>
  <c r="H470" i="1"/>
  <c r="I470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G545" i="1" s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5" i="1" s="1"/>
  <c r="L564" i="1"/>
  <c r="F565" i="1"/>
  <c r="G565" i="1"/>
  <c r="H565" i="1"/>
  <c r="H571" i="1" s="1"/>
  <c r="I565" i="1"/>
  <c r="J565" i="1"/>
  <c r="K565" i="1"/>
  <c r="L567" i="1"/>
  <c r="L570" i="1" s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3" i="1"/>
  <c r="H629" i="1"/>
  <c r="H630" i="1"/>
  <c r="H640" i="1"/>
  <c r="H643" i="1"/>
  <c r="G644" i="1"/>
  <c r="G645" i="1"/>
  <c r="G650" i="1"/>
  <c r="G652" i="1"/>
  <c r="H652" i="1"/>
  <c r="G653" i="1"/>
  <c r="H653" i="1"/>
  <c r="G654" i="1"/>
  <c r="H654" i="1"/>
  <c r="H655" i="1"/>
  <c r="J655" i="1" s="1"/>
  <c r="F78" i="2"/>
  <c r="D50" i="2"/>
  <c r="G156" i="2"/>
  <c r="D91" i="2"/>
  <c r="G62" i="2"/>
  <c r="E78" i="2"/>
  <c r="E81" i="2" s="1"/>
  <c r="J571" i="1"/>
  <c r="J140" i="1"/>
  <c r="H140" i="1"/>
  <c r="I571" i="1"/>
  <c r="K605" i="1" l="1"/>
  <c r="G648" i="1" s="1"/>
  <c r="D18" i="2"/>
  <c r="H461" i="1"/>
  <c r="H641" i="1" s="1"/>
  <c r="J641" i="1" s="1"/>
  <c r="I461" i="1"/>
  <c r="H642" i="1" s="1"/>
  <c r="J642" i="1" s="1"/>
  <c r="L401" i="1"/>
  <c r="C139" i="2" s="1"/>
  <c r="I408" i="1"/>
  <c r="H408" i="1"/>
  <c r="H644" i="1" s="1"/>
  <c r="L393" i="1"/>
  <c r="C138" i="2" s="1"/>
  <c r="C18" i="10"/>
  <c r="J645" i="1"/>
  <c r="J644" i="1"/>
  <c r="J640" i="1"/>
  <c r="J639" i="1"/>
  <c r="K551" i="1"/>
  <c r="L534" i="1"/>
  <c r="J545" i="1"/>
  <c r="J552" i="1"/>
  <c r="L544" i="1"/>
  <c r="H545" i="1"/>
  <c r="K550" i="1"/>
  <c r="I545" i="1"/>
  <c r="L524" i="1"/>
  <c r="K549" i="1"/>
  <c r="K571" i="1"/>
  <c r="L560" i="1"/>
  <c r="K598" i="1"/>
  <c r="G647" i="1" s="1"/>
  <c r="L328" i="1"/>
  <c r="H662" i="1"/>
  <c r="K338" i="1"/>
  <c r="E118" i="2"/>
  <c r="F338" i="1"/>
  <c r="F352" i="1" s="1"/>
  <c r="A13" i="12"/>
  <c r="A40" i="12"/>
  <c r="C10" i="10"/>
  <c r="E112" i="2"/>
  <c r="H338" i="1"/>
  <c r="H352" i="1" s="1"/>
  <c r="E111" i="2"/>
  <c r="G338" i="1"/>
  <c r="G352" i="1" s="1"/>
  <c r="C16" i="10"/>
  <c r="C13" i="10"/>
  <c r="E122" i="2"/>
  <c r="L309" i="1"/>
  <c r="C26" i="10"/>
  <c r="H25" i="13"/>
  <c r="C132" i="2"/>
  <c r="L270" i="1"/>
  <c r="L256" i="1"/>
  <c r="G651" i="1"/>
  <c r="J651" i="1" s="1"/>
  <c r="C21" i="10"/>
  <c r="C121" i="2"/>
  <c r="C125" i="2"/>
  <c r="L229" i="1"/>
  <c r="C20" i="10"/>
  <c r="C17" i="10"/>
  <c r="E16" i="13"/>
  <c r="C123" i="2"/>
  <c r="D7" i="13"/>
  <c r="C7" i="13" s="1"/>
  <c r="C122" i="2"/>
  <c r="C114" i="2"/>
  <c r="C112" i="2"/>
  <c r="L247" i="1"/>
  <c r="H660" i="1" s="1"/>
  <c r="F257" i="1"/>
  <c r="F271" i="1" s="1"/>
  <c r="H257" i="1"/>
  <c r="H271" i="1" s="1"/>
  <c r="A31" i="12"/>
  <c r="J257" i="1"/>
  <c r="J271" i="1" s="1"/>
  <c r="K257" i="1"/>
  <c r="K271" i="1" s="1"/>
  <c r="G257" i="1"/>
  <c r="G271" i="1" s="1"/>
  <c r="C12" i="10"/>
  <c r="L211" i="1"/>
  <c r="D5" i="13"/>
  <c r="C5" i="13" s="1"/>
  <c r="I257" i="1"/>
  <c r="I271" i="1" s="1"/>
  <c r="C91" i="2"/>
  <c r="C78" i="2"/>
  <c r="C70" i="2"/>
  <c r="F112" i="1"/>
  <c r="C18" i="2"/>
  <c r="I52" i="1"/>
  <c r="H620" i="1" s="1"/>
  <c r="J620" i="1" s="1"/>
  <c r="F18" i="2"/>
  <c r="C29" i="10"/>
  <c r="F130" i="2"/>
  <c r="F144" i="2" s="1"/>
  <c r="F145" i="2" s="1"/>
  <c r="I169" i="1"/>
  <c r="E103" i="2"/>
  <c r="H169" i="1"/>
  <c r="H52" i="1"/>
  <c r="H619" i="1" s="1"/>
  <c r="J619" i="1" s="1"/>
  <c r="E31" i="2"/>
  <c r="D31" i="2"/>
  <c r="D51" i="2" s="1"/>
  <c r="J634" i="1"/>
  <c r="G661" i="1"/>
  <c r="L362" i="1"/>
  <c r="H661" i="1"/>
  <c r="G192" i="1"/>
  <c r="D81" i="2"/>
  <c r="C81" i="2"/>
  <c r="C16" i="13"/>
  <c r="F22" i="13"/>
  <c r="C22" i="13" s="1"/>
  <c r="G552" i="1"/>
  <c r="E8" i="13"/>
  <c r="C8" i="13" s="1"/>
  <c r="D12" i="13"/>
  <c r="C12" i="13" s="1"/>
  <c r="L290" i="1"/>
  <c r="L539" i="1"/>
  <c r="K503" i="1"/>
  <c r="L382" i="1"/>
  <c r="K352" i="1"/>
  <c r="E109" i="2"/>
  <c r="E115" i="2" s="1"/>
  <c r="G81" i="2"/>
  <c r="C62" i="2"/>
  <c r="E57" i="2"/>
  <c r="E62" i="2" s="1"/>
  <c r="E63" i="2" s="1"/>
  <c r="F661" i="1"/>
  <c r="C19" i="10"/>
  <c r="C15" i="10"/>
  <c r="G112" i="1"/>
  <c r="D29" i="13"/>
  <c r="C29" i="13" s="1"/>
  <c r="E13" i="13"/>
  <c r="C13" i="13" s="1"/>
  <c r="D6" i="13"/>
  <c r="C6" i="13" s="1"/>
  <c r="D15" i="13"/>
  <c r="C15" i="13" s="1"/>
  <c r="G649" i="1"/>
  <c r="J649" i="1" s="1"/>
  <c r="J338" i="1"/>
  <c r="J352" i="1" s="1"/>
  <c r="E130" i="2"/>
  <c r="E144" i="2" s="1"/>
  <c r="D127" i="2"/>
  <c r="D128" i="2" s="1"/>
  <c r="D145" i="2" s="1"/>
  <c r="C124" i="2"/>
  <c r="C120" i="2"/>
  <c r="C111" i="2"/>
  <c r="C56" i="2"/>
  <c r="F662" i="1"/>
  <c r="I662" i="1" s="1"/>
  <c r="F81" i="2"/>
  <c r="L351" i="1"/>
  <c r="H647" i="1"/>
  <c r="G625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F31" i="2"/>
  <c r="C31" i="2"/>
  <c r="E18" i="2"/>
  <c r="F50" i="2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J654" i="1"/>
  <c r="J653" i="1"/>
  <c r="G21" i="2"/>
  <c r="G31" i="2" s="1"/>
  <c r="J32" i="1"/>
  <c r="L434" i="1"/>
  <c r="J434" i="1"/>
  <c r="F434" i="1"/>
  <c r="K434" i="1"/>
  <c r="G134" i="2" s="1"/>
  <c r="G144" i="2" s="1"/>
  <c r="G145" i="2" s="1"/>
  <c r="F31" i="13"/>
  <c r="H193" i="1"/>
  <c r="G629" i="1" s="1"/>
  <c r="J629" i="1" s="1"/>
  <c r="G169" i="1"/>
  <c r="G140" i="1"/>
  <c r="F140" i="1"/>
  <c r="J618" i="1"/>
  <c r="G42" i="2"/>
  <c r="J51" i="1"/>
  <c r="G16" i="2"/>
  <c r="G18" i="2" s="1"/>
  <c r="J19" i="1"/>
  <c r="G621" i="1" s="1"/>
  <c r="F545" i="1"/>
  <c r="H434" i="1"/>
  <c r="D103" i="2"/>
  <c r="D104" i="2" s="1"/>
  <c r="I140" i="1"/>
  <c r="A22" i="12"/>
  <c r="G50" i="2"/>
  <c r="G51" i="2" s="1"/>
  <c r="J652" i="1"/>
  <c r="G571" i="1"/>
  <c r="I434" i="1"/>
  <c r="G434" i="1"/>
  <c r="I663" i="1"/>
  <c r="C27" i="10"/>
  <c r="G636" i="1" l="1"/>
  <c r="I472" i="1"/>
  <c r="G637" i="1"/>
  <c r="J468" i="1"/>
  <c r="G638" i="1"/>
  <c r="J472" i="1"/>
  <c r="H646" i="1"/>
  <c r="G635" i="1"/>
  <c r="G472" i="1"/>
  <c r="L545" i="1"/>
  <c r="K552" i="1"/>
  <c r="J647" i="1"/>
  <c r="J60" i="1"/>
  <c r="G643" i="1"/>
  <c r="J643" i="1" s="1"/>
  <c r="E128" i="2"/>
  <c r="C115" i="2"/>
  <c r="G660" i="1"/>
  <c r="G664" i="1" s="1"/>
  <c r="G667" i="1" s="1"/>
  <c r="E145" i="2"/>
  <c r="C25" i="13"/>
  <c r="H33" i="13"/>
  <c r="F33" i="13"/>
  <c r="C128" i="2"/>
  <c r="L257" i="1"/>
  <c r="L271" i="1" s="1"/>
  <c r="F660" i="1"/>
  <c r="F664" i="1" s="1"/>
  <c r="H648" i="1"/>
  <c r="J648" i="1" s="1"/>
  <c r="F193" i="1"/>
  <c r="E51" i="2"/>
  <c r="F51" i="2"/>
  <c r="F104" i="2"/>
  <c r="I193" i="1"/>
  <c r="G630" i="1" s="1"/>
  <c r="J630" i="1" s="1"/>
  <c r="C28" i="10"/>
  <c r="D22" i="10" s="1"/>
  <c r="L338" i="1"/>
  <c r="L352" i="1" s="1"/>
  <c r="C39" i="10"/>
  <c r="E104" i="2"/>
  <c r="H664" i="1"/>
  <c r="I661" i="1"/>
  <c r="D31" i="13"/>
  <c r="C31" i="13" s="1"/>
  <c r="C63" i="2"/>
  <c r="C104" i="2" s="1"/>
  <c r="E33" i="13"/>
  <c r="D35" i="13" s="1"/>
  <c r="G193" i="1"/>
  <c r="G626" i="1"/>
  <c r="J52" i="1"/>
  <c r="H621" i="1" s="1"/>
  <c r="J621" i="1" s="1"/>
  <c r="C38" i="10"/>
  <c r="G627" i="1" l="1"/>
  <c r="F468" i="1"/>
  <c r="I474" i="1"/>
  <c r="I476" i="1" s="1"/>
  <c r="H625" i="1" s="1"/>
  <c r="J625" i="1" s="1"/>
  <c r="H636" i="1"/>
  <c r="J636" i="1" s="1"/>
  <c r="H637" i="1"/>
  <c r="J470" i="1"/>
  <c r="H631" i="1"/>
  <c r="J637" i="1"/>
  <c r="H638" i="1"/>
  <c r="J638" i="1" s="1"/>
  <c r="J474" i="1"/>
  <c r="H635" i="1"/>
  <c r="J635" i="1" s="1"/>
  <c r="G474" i="1"/>
  <c r="G628" i="1"/>
  <c r="G468" i="1"/>
  <c r="G672" i="1"/>
  <c r="C5" i="10" s="1"/>
  <c r="G632" i="1"/>
  <c r="F472" i="1"/>
  <c r="G56" i="2"/>
  <c r="G63" i="2" s="1"/>
  <c r="G104" i="2" s="1"/>
  <c r="C35" i="10"/>
  <c r="J112" i="1"/>
  <c r="C145" i="2"/>
  <c r="G633" i="1"/>
  <c r="H472" i="1"/>
  <c r="I660" i="1"/>
  <c r="I664" i="1" s="1"/>
  <c r="I672" i="1" s="1"/>
  <c r="C7" i="10" s="1"/>
  <c r="D20" i="10"/>
  <c r="D11" i="10"/>
  <c r="D16" i="10"/>
  <c r="C30" i="10"/>
  <c r="D26" i="10"/>
  <c r="D25" i="10"/>
  <c r="D24" i="10"/>
  <c r="D13" i="10"/>
  <c r="D19" i="10"/>
  <c r="D10" i="10"/>
  <c r="D15" i="10"/>
  <c r="D21" i="10"/>
  <c r="D27" i="10"/>
  <c r="D18" i="10"/>
  <c r="D17" i="10"/>
  <c r="D12" i="10"/>
  <c r="D23" i="10"/>
  <c r="D33" i="13"/>
  <c r="D36" i="13" s="1"/>
  <c r="H672" i="1"/>
  <c r="C6" i="10" s="1"/>
  <c r="H667" i="1"/>
  <c r="F672" i="1"/>
  <c r="C4" i="10" s="1"/>
  <c r="F667" i="1"/>
  <c r="F470" i="1" l="1"/>
  <c r="H627" i="1"/>
  <c r="J627" i="1"/>
  <c r="J476" i="1"/>
  <c r="H626" i="1" s="1"/>
  <c r="J626" i="1" s="1"/>
  <c r="G470" i="1"/>
  <c r="G476" i="1" s="1"/>
  <c r="H623" i="1" s="1"/>
  <c r="J623" i="1" s="1"/>
  <c r="H628" i="1"/>
  <c r="J628" i="1"/>
  <c r="F474" i="1"/>
  <c r="F476" i="1" s="1"/>
  <c r="H622" i="1" s="1"/>
  <c r="H632" i="1"/>
  <c r="J632" i="1" s="1"/>
  <c r="J193" i="1"/>
  <c r="C36" i="10"/>
  <c r="C41" i="10" s="1"/>
  <c r="H633" i="1"/>
  <c r="J633" i="1" s="1"/>
  <c r="H474" i="1"/>
  <c r="H476" i="1" s="1"/>
  <c r="H624" i="1" s="1"/>
  <c r="J624" i="1" s="1"/>
  <c r="D28" i="10"/>
  <c r="I667" i="1"/>
  <c r="D38" i="10" l="1"/>
  <c r="D40" i="10"/>
  <c r="D39" i="10"/>
  <c r="D35" i="10"/>
  <c r="D37" i="10"/>
  <c r="G646" i="1"/>
  <c r="J646" i="1" s="1"/>
  <c r="G631" i="1"/>
  <c r="J631" i="1" s="1"/>
  <c r="D36" i="10"/>
  <c r="D41" i="10" l="1"/>
  <c r="F51" i="1"/>
  <c r="F52" i="1" s="1"/>
  <c r="H617" i="1" s="1"/>
  <c r="J617" i="1" s="1"/>
  <c r="C47" i="2"/>
  <c r="C50" i="2" s="1"/>
  <c r="C51" i="2" s="1"/>
  <c r="G622" i="1" l="1"/>
  <c r="J622" i="1" s="1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<sst xmlns="http://schemas.openxmlformats.org/spreadsheetml/2006/main" count="3959" uniqueCount="915">
  <si>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</si>
  <si>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</si>
  <si>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</si>
  <si>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</si>
  <si>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</si>
  <si>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</si>
  <si>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</si>
  <si>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</si>
  <si>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</si>
  <si>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</si>
  <si>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</si>
  <si>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</si>
  <si>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</si>
  <si>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</si>
  <si>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</si>
  <si>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</si>
  <si>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</si>
  <si>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</si>
  <si>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</si>
  <si>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</si>
  <si>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</si>
  <si>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</si>
  <si>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</si>
  <si>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</si>
  <si>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</si>
  <si>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</si>
  <si>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</si>
  <si>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</si>
  <si>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</si>
  <si>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</si>
  <si>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</si>
  <si>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</si>
  <si>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</si>
  <si>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</si>
  <si>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</si>
  <si>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</si>
  <si>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</si>
  <si>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</si>
  <si>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</si>
  <si>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</si>
  <si>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</si>
  <si>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</si>
  <si>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</si>
  <si>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</si>
  <si>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</si>
  <si>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</si>
  <si>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</si>
  <si>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</si>
  <si>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</si>
  <si>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</si>
  <si>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</si>
  <si>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</si>
  <si>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</si>
  <si>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</si>
  <si>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</si>
  <si>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</si>
  <si>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</si>
  <si>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</si>
  <si>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</si>
  <si>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</si>
  <si>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</si>
  <si>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</si>
  <si>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</si>
  <si>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</si>
  <si>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</si>
  <si>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</si>
  <si>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</si>
  <si>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</si>
  <si>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</si>
  <si>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</si>
  <si>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</si>
  <si>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</si>
  <si>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</si>
  <si>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</si>
  <si>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</si>
  <si>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</si>
  <si>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</si>
  <si>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</si>
  <si>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</si>
  <si>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</si>
  <si>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</si>
  <si>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</si>
  <si>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</si>
  <si>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</si>
  <si>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</si>
  <si>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</si>
  <si>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</si>
  <si>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</si>
  <si>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</si>
  <si>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</si>
  <si>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</si>
  <si>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</si>
  <si>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</si>
  <si>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</si>
  <si>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</si>
  <si>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</si>
  <si>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</si>
  <si>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</si>
  <si>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</si>
  <si>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</si>
  <si>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</si>
  <si>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</si>
  <si>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</si>
  <si>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</si>
  <si>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</si>
  <si>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</si>
  <si>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</si>
  <si>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</si>
  <si>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</si>
  <si>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</si>
  <si>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</si>
  <si>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</si>
  <si>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</si>
  <si>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</si>
  <si>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</si>
  <si>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</si>
  <si>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</si>
  <si>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</si>
  <si>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</si>
  <si>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</si>
  <si>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</si>
  <si>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</si>
  <si>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</si>
  <si>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</si>
  <si>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</si>
  <si>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</si>
  <si>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</si>
  <si>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</si>
  <si>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</si>
  <si>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</si>
  <si>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</si>
  <si>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</si>
  <si>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</si>
  <si>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</si>
  <si>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</si>
  <si>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</si>
  <si>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</si>
  <si>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</si>
  <si>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</si>
  <si>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</si>
  <si>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</si>
  <si>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</si>
  <si>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</si>
  <si>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</si>
  <si>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</si>
  <si>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</si>
  <si>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</si>
  <si>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</si>
  <si>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</si>
  <si>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</si>
  <si>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</si>
  <si>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</si>
  <si>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</si>
  <si>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</si>
  <si>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</si>
  <si>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</si>
  <si>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</si>
  <si>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</si>
  <si>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</si>
  <si>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</si>
  <si>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</si>
  <si>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</si>
  <si>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</si>
  <si>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</si>
  <si>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</si>
  <si>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</si>
  <si>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</si>
  <si>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</si>
  <si>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</si>
  <si>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</si>
  <si>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</si>
  <si>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</si>
  <si>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</si>
  <si>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</si>
  <si>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</si>
  <si>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</si>
  <si>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</si>
  <si>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</si>
  <si>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</si>
  <si>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</si>
  <si>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</si>
  <si>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</si>
  <si>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</si>
  <si>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</si>
  <si>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</si>
  <si>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</si>
  <si>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</si>
  <si>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</si>
  <si>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</si>
  <si>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</si>
  <si>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</si>
  <si>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</si>
  <si>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</si>
  <si>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</si>
  <si>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</si>
  <si>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</si>
  <si>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</si>
  <si>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</si>
  <si>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</si>
  <si>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</si>
  <si>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</si>
  <si>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</si>
  <si>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</si>
  <si>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</si>
  <si>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</si>
  <si>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</si>
  <si>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</si>
  <si>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</si>
  <si>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</si>
  <si>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</si>
  <si>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</si>
  <si>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</si>
  <si>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</si>
  <si>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</si>
  <si>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</si>
  <si>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</si>
  <si>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</si>
  <si>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</si>
  <si>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</si>
  <si>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</si>
  <si>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</si>
  <si>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</si>
  <si>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</si>
  <si>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</si>
  <si>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</si>
  <si>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</si>
  <si>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</si>
  <si>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</si>
  <si>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</si>
  <si>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</si>
  <si>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</si>
  <si>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</si>
  <si>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</si>
  <si>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</si>
  <si>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</si>
  <si>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</si>
  <si>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</si>
  <si>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</si>
  <si>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</si>
  <si>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</si>
  <si>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</si>
  <si>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</si>
  <si>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</si>
  <si>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</si>
  <si>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</si>
  <si>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</si>
  <si>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</si>
  <si>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</si>
  <si>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</si>
  <si>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</si>
  <si>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</si>
  <si>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</si>
  <si>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</si>
  <si>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</si>
  <si>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</si>
  <si>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</si>
  <si>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</si>
  <si>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</si>
  <si>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</si>
  <si>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</si>
  <si>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</si>
  <si>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</si>
  <si>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</si>
  <si>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</si>
  <si>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</si>
  <si>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</si>
  <si>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</si>
  <si>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</si>
  <si>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</si>
  <si>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</si>
  <si>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</si>
  <si>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</si>
  <si>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</si>
  <si>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</si>
  <si>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</si>
  <si>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</si>
  <si>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</si>
  <si>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</si>
  <si>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</si>
  <si>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</si>
  <si>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</si>
  <si>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</si>
  <si>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</si>
  <si>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</si>
  <si>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</si>
  <si>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</si>
  <si>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</si>
  <si>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</si>
  <si>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</si>
  <si>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</si>
  <si>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</si>
  <si>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</si>
  <si>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</si>
  <si>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</si>
  <si>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</si>
  <si>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</si>
  <si>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</si>
  <si>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</si>
  <si>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</si>
  <si>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</si>
  <si>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</si>
  <si>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</si>
  <si>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</si>
  <si>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</si>
  <si>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</si>
  <si>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</si>
  <si>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</si>
  <si>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</si>
  <si>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</si>
  <si>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</si>
  <si>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</si>
  <si>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</si>
  <si>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</si>
  <si>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</si>
  <si>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</si>
  <si>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</si>
  <si>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</si>
  <si>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</si>
  <si>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</si>
  <si>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</si>
  <si>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</si>
  <si>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</si>
  <si>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</si>
  <si>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</si>
  <si>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</si>
  <si>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</si>
  <si>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</si>
  <si>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</si>
  <si>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</si>
  <si>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</si>
  <si>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</si>
  <si>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</si>
  <si>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</si>
  <si>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</si>
  <si>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</si>
  <si>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</si>
  <si>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</si>
  <si>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</si>
  <si>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</si>
  <si>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</si>
  <si>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</si>
  <si>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</si>
  <si>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</si>
  <si>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</si>
  <si>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</si>
  <si>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</si>
  <si>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</si>
  <si>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</si>
  <si>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</si>
  <si>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</si>
  <si>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</si>
  <si>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</si>
  <si>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</si>
  <si>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</si>
  <si>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</si>
  <si>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</si>
  <si>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</si>
  <si>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</si>
  <si>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</si>
  <si>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</si>
  <si>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</si>
  <si>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</si>
  <si>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</si>
  <si>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</si>
  <si>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</si>
  <si>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</si>
  <si>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</si>
  <si>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</si>
  <si>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</si>
  <si>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</si>
  <si>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</si>
  <si>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</si>
  <si>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</si>
  <si>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</si>
  <si>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</si>
  <si>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</si>
  <si>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</si>
  <si>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</si>
  <si>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</si>
  <si>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</si>
  <si>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</si>
  <si>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</si>
  <si>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</si>
  <si>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</si>
  <si>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</si>
  <si>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</si>
  <si>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</si>
  <si>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</si>
  <si>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</si>
  <si>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</si>
  <si>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</si>
  <si>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</si>
  <si>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</si>
  <si>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</si>
  <si>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</si>
  <si>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</si>
  <si>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</si>
  <si>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</si>
  <si>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</si>
  <si>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</si>
  <si>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</si>
  <si>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</si>
  <si>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</si>
  <si>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</si>
  <si>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</si>
  <si>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</si>
  <si>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</si>
  <si>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</si>
  <si>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</si>
  <si>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</si>
  <si>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</si>
  <si>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</si>
  <si>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</si>
  <si>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</si>
  <si>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</si>
  <si>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</si>
  <si>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</si>
  <si>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</si>
  <si>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</si>
  <si>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</si>
  <si>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</si>
  <si>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</si>
  <si>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</si>
  <si>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</si>
  <si>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</si>
  <si>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</si>
  <si>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</si>
  <si>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</si>
  <si>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</si>
  <si>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</si>
  <si>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</si>
  <si>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</si>
  <si>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</si>
  <si>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</si>
  <si>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</si>
  <si>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</si>
  <si>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</si>
  <si>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</si>
  <si>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</si>
  <si>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</si>
  <si>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</si>
  <si>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</si>
  <si>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</si>
  <si>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</si>
  <si>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</si>
  <si>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</si>
  <si>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</si>
  <si>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</si>
  <si>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</si>
  <si>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</si>
  <si>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</si>
  <si>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</si>
  <si>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</si>
  <si>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</si>
  <si>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</si>
  <si>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</si>
  <si>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</si>
  <si>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</si>
  <si>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</si>
  <si>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</si>
  <si>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</si>
  <si>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</si>
  <si>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</si>
  <si>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</si>
  <si>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</si>
  <si>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</si>
  <si>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</si>
  <si>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</si>
  <si>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</si>
  <si>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</si>
  <si>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</si>
  <si>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</si>
  <si>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</si>
  <si>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</si>
  <si>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</si>
  <si>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</si>
  <si>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</si>
  <si>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</si>
  <si>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</si>
  <si>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</si>
  <si>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</si>
  <si>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</si>
  <si>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</si>
  <si>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</si>
  <si>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</si>
  <si>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</si>
  <si>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</si>
  <si>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</si>
  <si>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</si>
  <si>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</si>
  <si>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</si>
  <si>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</si>
  <si>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</si>
  <si>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</si>
  <si>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</si>
  <si>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</si>
  <si>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</si>
  <si>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</si>
  <si>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</si>
  <si>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</si>
  <si>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</si>
  <si>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</si>
  <si>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</si>
  <si>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</si>
  <si>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</si>
  <si>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</si>
  <si>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</si>
  <si>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</si>
  <si>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</si>
  <si>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</si>
  <si>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</si>
  <si>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</si>
  <si>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</si>
  <si>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</si>
  <si>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</si>
  <si>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</si>
  <si>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</si>
  <si>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</si>
  <si>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</si>
  <si>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</si>
  <si>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</si>
  <si>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</si>
  <si>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</si>
  <si>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</si>
  <si>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</si>
  <si>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</si>
  <si>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</si>
  <si>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</si>
  <si>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</si>
  <si>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</si>
  <si>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</si>
  <si>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</si>
  <si>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</si>
  <si>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</si>
  <si>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</si>
  <si>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</si>
  <si>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</si>
  <si>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</si>
  <si>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</si>
  <si>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</si>
  <si>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</si>
  <si>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</si>
  <si>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</si>
  <si>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</si>
  <si>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</si>
  <si>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</si>
  <si>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</si>
  <si>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</si>
  <si>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</si>
  <si>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</si>
  <si>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</si>
  <si>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</si>
  <si>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</si>
  <si>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</si>
  <si>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</si>
  <si>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</si>
  <si>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</si>
  <si>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</si>
  <si>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</si>
  <si>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</si>
  <si>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</si>
  <si>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</si>
  <si>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</si>
  <si>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</si>
  <si>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</si>
  <si>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</si>
  <si>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</si>
  <si>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</si>
  <si>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</si>
  <si>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</si>
  <si>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</si>
  <si>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</si>
  <si>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</si>
  <si>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</si>
  <si>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</si>
  <si>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</si>
  <si>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</si>
  <si>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</si>
  <si>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</si>
  <si>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</si>
  <si>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</si>
  <si>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</si>
  <si>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</si>
  <si>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</si>
  <si>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</si>
  <si>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</si>
  <si>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</si>
  <si>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</si>
  <si>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</si>
  <si>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</si>
  <si>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</si>
  <si>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</si>
  <si>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</si>
  <si>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</si>
  <si>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</si>
  <si>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</si>
  <si>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</si>
  <si>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</si>
  <si>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</si>
  <si>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</si>
  <si>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</si>
  <si>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</si>
  <si>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</si>
  <si>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</si>
  <si>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</si>
  <si>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</si>
  <si>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</si>
  <si>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</si>
  <si>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</si>
  <si>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</si>
  <si>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</si>
  <si>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</si>
  <si>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</si>
  <si>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</si>
  <si>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</si>
  <si>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</si>
  <si>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</si>
  <si>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</si>
  <si>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</si>
  <si>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</si>
  <si>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</si>
  <si>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</si>
  <si>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</si>
  <si>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</si>
  <si>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</si>
  <si>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</si>
  <si>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</si>
  <si>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</si>
  <si>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</si>
  <si>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</si>
  <si>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</si>
  <si>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</si>
  <si>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</si>
  <si>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</si>
  <si>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</si>
  <si>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</si>
  <si>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</si>
  <si>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</si>
  <si>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</si>
  <si>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</si>
  <si>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</si>
  <si>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</si>
  <si>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</si>
  <si>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</si>
  <si>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</si>
  <si>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</si>
  <si>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</si>
  <si>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</si>
  <si>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</si>
  <si>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</si>
  <si>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</si>
  <si>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</si>
  <si>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</si>
  <si>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</si>
  <si>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</si>
  <si>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</si>
  <si>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</si>
  <si>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</si>
  <si>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</si>
  <si>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</si>
  <si>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</si>
  <si>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</si>
  <si>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</si>
  <si>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</si>
  <si>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</si>
  <si>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</si>
  <si>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</si>
  <si>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</si>
  <si>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</si>
  <si>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</si>
  <si>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</si>
  <si>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</si>
  <si>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</si>
  <si>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</si>
  <si>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</si>
  <si>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</si>
  <si>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</si>
  <si>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</si>
  <si>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</si>
  <si>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</si>
  <si>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</si>
  <si>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</si>
  <si>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</si>
  <si>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</si>
  <si>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</si>
  <si>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</si>
  <si>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</si>
  <si>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</si>
  <si>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</si>
  <si>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</si>
  <si>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</si>
  <si>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</si>
  <si>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</si>
  <si>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</si>
  <si>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</si>
  <si>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</si>
  <si>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</si>
  <si>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</si>
  <si>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</si>
  <si>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</si>
  <si>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</si>
  <si>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</si>
  <si>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</si>
  <si>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</si>
  <si>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</si>
  <si>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</si>
  <si>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</si>
  <si>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</si>
  <si>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</si>
  <si>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</si>
  <si>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</si>
  <si>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</si>
  <si>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</si>
  <si>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</si>
  <si>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</si>
  <si>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</si>
  <si>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</si>
  <si>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</si>
  <si>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</si>
  <si>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</si>
  <si>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</si>
  <si>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</si>
  <si>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</si>
  <si>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</si>
  <si>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</si>
  <si>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</si>
  <si>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</si>
  <si>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</si>
  <si>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</si>
  <si>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</si>
  <si>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</si>
  <si>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</si>
  <si>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</si>
  <si>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</si>
  <si>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</si>
  <si>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</si>
  <si>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</si>
  <si>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</si>
  <si>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</si>
  <si>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</si>
  <si>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</si>
  <si>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</si>
  <si>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</si>
  <si>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</si>
  <si>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</si>
  <si>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</si>
  <si>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</si>
  <si>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</si>
  <si>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</si>
  <si>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</si>
  <si>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</si>
  <si>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</si>
  <si>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</si>
  <si>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</si>
  <si>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</si>
  <si>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</si>
  <si>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</si>
  <si>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</si>
  <si>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</si>
  <si>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</si>
  <si>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</si>
  <si>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</si>
  <si>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</si>
  <si>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</si>
  <si>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</si>
  <si>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</si>
  <si>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</si>
  <si>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</si>
  <si>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</si>
  <si>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</si>
  <si>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</si>
  <si>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</si>
  <si>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</si>
  <si>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</si>
  <si>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</si>
  <si>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</si>
  <si>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</si>
  <si>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</si>
  <si>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</si>
  <si>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</si>
  <si>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</si>
  <si>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</si>
  <si>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</si>
  <si>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</si>
  <si>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</si>
  <si>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</si>
  <si>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</si>
  <si>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</si>
  <si>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</si>
  <si>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</si>
  <si>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</si>
  <si>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</si>
  <si>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</si>
  <si>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</si>
  <si>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</si>
  <si>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</si>
  <si>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</si>
  <si>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</si>
  <si>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</si>
  <si>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</si>
  <si>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</si>
  <si>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</si>
  <si>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</si>
  <si>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</si>
  <si>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</si>
  <si>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</si>
  <si>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</si>
  <si>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</si>
  <si>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</si>
  <si>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</si>
  <si>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</si>
  <si>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</si>
  <si>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</si>
  <si>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</si>
  <si>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</si>
  <si>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</si>
  <si>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</si>
  <si>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</si>
  <si>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</si>
  <si>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</si>
  <si>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</si>
  <si>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</si>
  <si>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</si>
  <si>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</si>
  <si>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</si>
  <si>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</si>
  <si>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</si>
  <si>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</si>
  <si>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</si>
  <si>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</si>
  <si>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</si>
  <si>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</si>
  <si>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</si>
  <si>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</si>
  <si>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</si>
  <si>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</si>
  <si>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</si>
  <si>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</si>
  <si>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</si>
  <si>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</si>
  <si>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</si>
  <si>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</si>
  <si>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</si>
  <si>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</si>
  <si>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</si>
  <si>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</si>
  <si>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</si>
  <si>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</si>
  <si>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</si>
  <si>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</si>
  <si>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</si>
  <si>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</si>
  <si>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</si>
  <si>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</si>
  <si>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</si>
  <si>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</si>
  <si>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</si>
  <si>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</si>
  <si>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</si>
  <si>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</si>
  <si>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</si>
  <si>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</si>
  <si>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</si>
  <si>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</si>
  <si>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</si>
  <si>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</si>
  <si>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</si>
  <si>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</si>
  <si>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</si>
  <si>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</si>
  <si>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</si>
  <si>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</si>
  <si>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</si>
  <si>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</si>
  <si>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</si>
  <si>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</si>
  <si>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</si>
  <si>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</si>
  <si>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</si>
  <si>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</si>
  <si>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</si>
  <si>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</si>
  <si>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</si>
  <si>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</si>
  <si>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</si>
  <si>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</si>
  <si>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</si>
  <si>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</si>
  <si>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</si>
  <si>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</si>
  <si>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</si>
  <si>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</si>
  <si>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</si>
  <si>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</si>
  <si>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</si>
  <si>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</si>
  <si>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</si>
  <si>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</si>
  <si>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</si>
  <si>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</si>
  <si>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</si>
  <si>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</si>
  <si>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</si>
  <si>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</si>
  <si>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</si>
  <si>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</si>
  <si>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</si>
  <si>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</si>
  <si>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</si>
  <si>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</si>
  <si>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</si>
  <si>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</si>
  <si>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Dunbarton School District</t>
  </si>
  <si>
    <t>Large Fund Balance Due to SAU 19 Issue for Previous Fiscal Years</t>
  </si>
  <si>
    <t>Had to change figures to account for warrant article #5 - MS-25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</si>
</sst>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10" zoomScaleNormal="110" workbookViewId="0">
      <pane xSplit="5" ySplit="3" topLeftCell="F642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149</v>
      </c>
      <c r="C2" s="21">
        <v>149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1959732.39</v>
      </c>
      <c r="G9" s="18">
        <v>0</v>
      </c>
      <c r="H9" s="18">
        <v>0</v>
      </c>
      <c r="I9" s="18">
        <v>0</v>
      </c>
      <c r="J9" s="67">
        <f>SUM(I439)</f>
        <v>414299.16000000003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>
        <v>0</v>
      </c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f>21186.39+928.62</f>
        <v>22115.01</v>
      </c>
      <c r="G12" s="18">
        <v>147151.13</v>
      </c>
      <c r="H12" s="18">
        <v>212609.64</v>
      </c>
      <c r="I12" s="18">
        <v>1305304.31</v>
      </c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0</v>
      </c>
      <c r="G13" s="18">
        <v>0</v>
      </c>
      <c r="H13" s="18">
        <v>0</v>
      </c>
      <c r="I13" s="18">
        <v>0</v>
      </c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954050</v>
      </c>
      <c r="G14" s="18">
        <v>928.62</v>
      </c>
      <c r="H14" s="18">
        <v>23141.57</v>
      </c>
      <c r="I14" s="18">
        <v>0</v>
      </c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>
        <v>0</v>
      </c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2015.32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v>9777.77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2947690.4899999998</v>
      </c>
      <c r="G19" s="41">
        <f>SUM(G9:G18)</f>
        <v>148079.75</v>
      </c>
      <c r="H19" s="41">
        <f>SUM(H9:H18)</f>
        <v>235751.21000000002</v>
      </c>
      <c r="I19" s="41">
        <f>SUM(I9:I18)</f>
        <v>1305304.31</v>
      </c>
      <c r="J19" s="41">
        <f>SUM(J9:J18)</f>
        <v>414299.16000000003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1305304.31</v>
      </c>
      <c r="G22" s="18">
        <f>148079.75</f>
        <v>148079.75</v>
      </c>
      <c r="H22" s="18">
        <f>235751.21-1955.18</f>
        <v>233796.03</v>
      </c>
      <c r="I22" s="18">
        <v>0</v>
      </c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121915.54</v>
      </c>
      <c r="G24" s="18">
        <v>0</v>
      </c>
      <c r="H24" s="18">
        <v>1955.18</v>
      </c>
      <c r="I24" s="18">
        <v>0</v>
      </c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>
        <v>1911.86</v>
      </c>
      <c r="G25" s="145">
        <v>0</v>
      </c>
      <c r="H25" s="18">
        <v>0</v>
      </c>
      <c r="I25" s="18">
        <v>0</v>
      </c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>
        <v>0</v>
      </c>
      <c r="G26" s="24" t="s">
        <v>286</v>
      </c>
      <c r="H26" s="24" t="s">
        <v>286</v>
      </c>
      <c r="I26" s="18">
        <v>0</v>
      </c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>
        <v>0</v>
      </c>
      <c r="G27" s="24" t="s">
        <v>286</v>
      </c>
      <c r="H27" s="24" t="s">
        <v>286</v>
      </c>
      <c r="I27" s="18">
        <v>0</v>
      </c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f>500.92+1554.93+4105.73+1009.9+26483-848.21</f>
        <v>32806.269999999997</v>
      </c>
      <c r="G29" s="18">
        <v>0</v>
      </c>
      <c r="H29" s="18">
        <v>0</v>
      </c>
      <c r="I29" s="18">
        <v>0</v>
      </c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0</v>
      </c>
      <c r="G30" s="18">
        <v>0</v>
      </c>
      <c r="H30" s="18">
        <v>0</v>
      </c>
      <c r="I30" s="18">
        <v>0</v>
      </c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1461937.9800000002</v>
      </c>
      <c r="G32" s="41">
        <f>SUM(G22:G31)</f>
        <v>148079.75</v>
      </c>
      <c r="H32" s="41">
        <f>SUM(H22:H31)</f>
        <v>235751.21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f>F17+F18</f>
        <v>11793.09</v>
      </c>
      <c r="G36" s="18">
        <v>0</v>
      </c>
      <c r="H36" s="18">
        <v>0</v>
      </c>
      <c r="I36" s="18">
        <v>0</v>
      </c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0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>
        <v>0</v>
      </c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1000</v>
      </c>
      <c r="G44" s="18">
        <v>0</v>
      </c>
      <c r="H44" s="18">
        <v>0</v>
      </c>
      <c r="I44" s="18">
        <v>0</v>
      </c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0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0</v>
      </c>
      <c r="G48" s="18">
        <v>0</v>
      </c>
      <c r="H48" s="18">
        <v>0</v>
      </c>
      <c r="I48" s="18">
        <f>1790000-484695.69</f>
        <v>1305304.31</v>
      </c>
      <c r="J48" s="13">
        <f>SUM(I459)</f>
        <v>414299.16000000003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1472959.42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1485752.51</v>
      </c>
      <c r="G51" s="41">
        <f>SUM(G35:G50)</f>
        <v>0</v>
      </c>
      <c r="H51" s="41">
        <f>SUM(H35:H50)</f>
        <v>0</v>
      </c>
      <c r="I51" s="41">
        <f>SUM(I35:I50)</f>
        <v>1305304.31</v>
      </c>
      <c r="J51" s="41">
        <f>SUM(J35:J50)</f>
        <v>414299.16000000003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2947690.49</v>
      </c>
      <c r="G52" s="41">
        <f>G51+G32</f>
        <v>148079.75</v>
      </c>
      <c r="H52" s="41">
        <f>H51+H32</f>
        <v>235751.21</v>
      </c>
      <c r="I52" s="41">
        <f>I51+I32</f>
        <v>1305304.31</v>
      </c>
      <c r="J52" s="41">
        <f>J51+J32</f>
        <v>414299.16000000003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4737712</v>
      </c>
      <c r="G57" s="18">
        <v>0</v>
      </c>
      <c r="H57" s="18">
        <v>0</v>
      </c>
      <c r="I57" s="18">
        <v>0</v>
      </c>
      <c r="J57" s="18">
        <v>0</v>
      </c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>
        <v>0</v>
      </c>
      <c r="G58" s="18">
        <v>0</v>
      </c>
      <c r="H58" s="24" t="s">
        <v>286</v>
      </c>
      <c r="I58" s="18">
        <v>0</v>
      </c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4737712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0</v>
      </c>
      <c r="G63" s="24" t="s">
        <v>286</v>
      </c>
      <c r="H63" s="18">
        <v>0</v>
      </c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0</v>
      </c>
      <c r="G64" s="24" t="s">
        <v>286</v>
      </c>
      <c r="H64" s="18">
        <v>0</v>
      </c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>
        <v>0</v>
      </c>
      <c r="G65" s="24" t="s">
        <v>286</v>
      </c>
      <c r="H65" s="18">
        <v>0</v>
      </c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0</v>
      </c>
      <c r="G66" s="24" t="s">
        <v>286</v>
      </c>
      <c r="H66" s="18">
        <v>0</v>
      </c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0</v>
      </c>
      <c r="G68" s="24" t="s">
        <v>286</v>
      </c>
      <c r="H68" s="18">
        <v>0</v>
      </c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0</v>
      </c>
      <c r="G69" s="24" t="s">
        <v>286</v>
      </c>
      <c r="H69" s="18">
        <v>0</v>
      </c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0</v>
      </c>
      <c r="G70" s="24" t="s">
        <v>286</v>
      </c>
      <c r="H70" s="18">
        <v>0</v>
      </c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>
        <v>0</v>
      </c>
      <c r="G72" s="24" t="s">
        <v>286</v>
      </c>
      <c r="H72" s="18">
        <v>0</v>
      </c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>
        <v>0</v>
      </c>
      <c r="G73" s="24" t="s">
        <v>286</v>
      </c>
      <c r="H73" s="18">
        <v>0</v>
      </c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>
        <v>0</v>
      </c>
      <c r="G74" s="24" t="s">
        <v>286</v>
      </c>
      <c r="H74" s="18">
        <v>0</v>
      </c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>
        <v>0</v>
      </c>
      <c r="G76" s="24" t="s">
        <v>286</v>
      </c>
      <c r="H76" s="18">
        <v>0</v>
      </c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>
        <v>0</v>
      </c>
      <c r="G77" s="24" t="s">
        <v>286</v>
      </c>
      <c r="H77" s="18">
        <v>0</v>
      </c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>
        <v>0</v>
      </c>
      <c r="G78" s="24" t="s">
        <v>286</v>
      </c>
      <c r="H78" s="18">
        <v>0</v>
      </c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>
        <v>0</v>
      </c>
      <c r="G83" s="24" t="s">
        <v>286</v>
      </c>
      <c r="H83" s="18">
        <v>0</v>
      </c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>
        <v>0</v>
      </c>
      <c r="G84" s="24" t="s">
        <v>286</v>
      </c>
      <c r="H84" s="18">
        <v>0</v>
      </c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>
        <v>0</v>
      </c>
      <c r="G86" s="24" t="s">
        <v>286</v>
      </c>
      <c r="H86" s="18">
        <v>0</v>
      </c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>
        <v>0</v>
      </c>
      <c r="G87" s="24" t="s">
        <v>286</v>
      </c>
      <c r="H87" s="18">
        <v>0</v>
      </c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>
        <v>0</v>
      </c>
      <c r="G88" s="24" t="s">
        <v>286</v>
      </c>
      <c r="H88" s="18">
        <v>0</v>
      </c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>
        <v>0</v>
      </c>
      <c r="G90" s="24" t="s">
        <v>286</v>
      </c>
      <c r="H90" s="18">
        <v>0</v>
      </c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>
        <v>0</v>
      </c>
      <c r="G91" s="24" t="s">
        <v>286</v>
      </c>
      <c r="H91" s="18">
        <v>0</v>
      </c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>
        <v>0</v>
      </c>
      <c r="G92" s="24" t="s">
        <v>286</v>
      </c>
      <c r="H92" s="18">
        <v>0</v>
      </c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>
        <v>0</v>
      </c>
      <c r="G93" s="24" t="s">
        <v>286</v>
      </c>
      <c r="H93" s="18">
        <v>0</v>
      </c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286.83999999999997</v>
      </c>
      <c r="G96" s="18">
        <v>0</v>
      </c>
      <c r="H96" s="18">
        <v>0</v>
      </c>
      <c r="I96" s="18">
        <v>0</v>
      </c>
      <c r="J96" s="18">
        <v>5755.36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48476.78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0</v>
      </c>
      <c r="G98" s="24" t="s">
        <v>286</v>
      </c>
      <c r="H98" s="18">
        <v>0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>
        <v>0</v>
      </c>
      <c r="G99" s="18">
        <v>0</v>
      </c>
      <c r="H99" s="18">
        <v>0</v>
      </c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2250</v>
      </c>
      <c r="G101" s="18">
        <v>0</v>
      </c>
      <c r="H101" s="18">
        <v>0</v>
      </c>
      <c r="I101" s="18">
        <v>0</v>
      </c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0</v>
      </c>
      <c r="G103" s="18">
        <v>0</v>
      </c>
      <c r="H103" s="18">
        <v>0</v>
      </c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>
        <v>0</v>
      </c>
      <c r="G104" s="24" t="s">
        <v>286</v>
      </c>
      <c r="H104" s="18">
        <v>0</v>
      </c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0</v>
      </c>
      <c r="G105" s="18">
        <v>0</v>
      </c>
      <c r="H105" s="18">
        <v>0</v>
      </c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>
        <v>0</v>
      </c>
      <c r="G106" s="18">
        <v>0</v>
      </c>
      <c r="H106" s="18">
        <v>0</v>
      </c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0</v>
      </c>
      <c r="G110" s="18">
        <v>0</v>
      </c>
      <c r="H110" s="18">
        <v>0</v>
      </c>
      <c r="I110" s="18">
        <v>0</v>
      </c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2536.84</v>
      </c>
      <c r="G111" s="41">
        <f>SUM(G96:G110)</f>
        <v>48476.78</v>
      </c>
      <c r="H111" s="41">
        <f>SUM(H96:H110)</f>
        <v>0</v>
      </c>
      <c r="I111" s="41">
        <f>SUM(I96:I110)</f>
        <v>0</v>
      </c>
      <c r="J111" s="41">
        <f>SUM(J96:J110)</f>
        <v>5755.36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4740248.84</v>
      </c>
      <c r="G112" s="41">
        <f>G60+G111</f>
        <v>48476.78</v>
      </c>
      <c r="H112" s="41">
        <f>H60+H79+H94+H111</f>
        <v>0</v>
      </c>
      <c r="I112" s="41">
        <f>I60+I111</f>
        <v>0</v>
      </c>
      <c r="J112" s="41">
        <f>J60+J111</f>
        <v>5755.36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937096.79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666338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5574.16</v>
      </c>
      <c r="G120" s="18">
        <v>0</v>
      </c>
      <c r="H120" s="18">
        <v>0</v>
      </c>
      <c r="I120" s="18">
        <v>0</v>
      </c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1609008.95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0</v>
      </c>
      <c r="G123" s="24" t="s">
        <v>286</v>
      </c>
      <c r="H123" s="24" t="s">
        <v>286</v>
      </c>
      <c r="I123" s="18">
        <v>0</v>
      </c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>
        <v>0</v>
      </c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78286.62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0</v>
      </c>
      <c r="G127" s="24" t="s">
        <v>286</v>
      </c>
      <c r="H127" s="18">
        <v>0</v>
      </c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0</v>
      </c>
      <c r="G128" s="24" t="s">
        <v>286</v>
      </c>
      <c r="H128" s="18">
        <v>0</v>
      </c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>
        <v>0</v>
      </c>
      <c r="G129" s="24" t="s">
        <v>286</v>
      </c>
      <c r="H129" s="18">
        <v>0</v>
      </c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>
        <v>0</v>
      </c>
      <c r="G130" s="24" t="s">
        <v>286</v>
      </c>
      <c r="H130" s="18">
        <v>0</v>
      </c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>
        <v>0</v>
      </c>
      <c r="G131" s="24" t="s">
        <v>286</v>
      </c>
      <c r="H131" s="18">
        <v>0</v>
      </c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f>962.15+2108.74</f>
        <v>3070.89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>
        <v>0</v>
      </c>
      <c r="G133" s="24" t="s">
        <v>286</v>
      </c>
      <c r="H133" s="18">
        <v>0</v>
      </c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78286.62</v>
      </c>
      <c r="G136" s="41">
        <f>SUM(G123:G135)</f>
        <v>3070.89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>
        <v>0</v>
      </c>
      <c r="G137" s="18">
        <v>0</v>
      </c>
      <c r="H137" s="18">
        <v>0</v>
      </c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>
        <v>0</v>
      </c>
      <c r="G138" s="24" t="s">
        <v>286</v>
      </c>
      <c r="H138" s="18">
        <v>0</v>
      </c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1687295.5699999998</v>
      </c>
      <c r="G140" s="41">
        <f>G121+SUM(G136:G137)</f>
        <v>3070.89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>
        <v>0</v>
      </c>
      <c r="G150" s="24" t="s">
        <v>286</v>
      </c>
      <c r="H150" s="18">
        <v>19242</v>
      </c>
      <c r="I150" s="18">
        <v>0</v>
      </c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>
        <v>0</v>
      </c>
      <c r="G151" s="24" t="s">
        <v>286</v>
      </c>
      <c r="H151" s="18">
        <v>0</v>
      </c>
      <c r="I151" s="18">
        <v>0</v>
      </c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>
        <v>0</v>
      </c>
      <c r="G152" s="24" t="s">
        <v>286</v>
      </c>
      <c r="H152" s="18">
        <v>0</v>
      </c>
      <c r="I152" s="18">
        <v>0</v>
      </c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f>679.42+17494.64</f>
        <v>18174.059999999998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f>12718.47+2000</f>
        <v>14718.47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0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>
        <v>0</v>
      </c>
      <c r="G157" s="24" t="s">
        <v>286</v>
      </c>
      <c r="H157" s="18">
        <v>0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16995.05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>
        <v>0</v>
      </c>
      <c r="G159" s="24" t="s">
        <v>286</v>
      </c>
      <c r="H159" s="18">
        <f>1096.53+58146.27</f>
        <v>59242.799999999996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86766.56</v>
      </c>
      <c r="G160" s="24" t="s">
        <v>286</v>
      </c>
      <c r="H160" s="18">
        <v>0</v>
      </c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86766.56</v>
      </c>
      <c r="G162" s="41">
        <f>SUM(G150:G161)</f>
        <v>16995.05</v>
      </c>
      <c r="H162" s="41">
        <f>SUM(H150:H161)</f>
        <v>111377.32999999999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>
        <v>0</v>
      </c>
      <c r="H163" s="18"/>
      <c r="I163" s="18">
        <v>0</v>
      </c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0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>
        <v>0</v>
      </c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>
        <v>0</v>
      </c>
      <c r="G168" s="18">
        <v>0</v>
      </c>
      <c r="H168" s="18">
        <v>0</v>
      </c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86766.56</v>
      </c>
      <c r="G169" s="41">
        <f>G147+G162+SUM(G163:G168)</f>
        <v>16995.05</v>
      </c>
      <c r="H169" s="41">
        <f>H147+H162+SUM(H163:H168)</f>
        <v>111377.32999999999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>
        <v>0</v>
      </c>
      <c r="G173" s="24" t="s">
        <v>286</v>
      </c>
      <c r="H173" s="24" t="s">
        <v>286</v>
      </c>
      <c r="I173" s="18">
        <v>1584025</v>
      </c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>
        <v>0</v>
      </c>
      <c r="G174" s="24" t="s">
        <v>286</v>
      </c>
      <c r="H174" s="24" t="s">
        <v>286</v>
      </c>
      <c r="I174" s="18">
        <v>205975</v>
      </c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>
        <v>0</v>
      </c>
      <c r="G175" s="24" t="s">
        <v>286</v>
      </c>
      <c r="H175" s="24" t="s">
        <v>286</v>
      </c>
      <c r="I175" s="18">
        <v>0</v>
      </c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>
        <v>0</v>
      </c>
      <c r="G176" s="24" t="s">
        <v>286</v>
      </c>
      <c r="H176" s="24" t="s">
        <v>286</v>
      </c>
      <c r="I176" s="18">
        <v>0</v>
      </c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1790000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7696.77</v>
      </c>
      <c r="H179" s="18">
        <v>0</v>
      </c>
      <c r="I179" s="18">
        <v>0</v>
      </c>
      <c r="J179" s="18">
        <f>241000+31758</f>
        <v>272758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>
        <v>0</v>
      </c>
      <c r="G180" s="24" t="s">
        <v>286</v>
      </c>
      <c r="H180" s="18">
        <v>0</v>
      </c>
      <c r="I180" s="18">
        <v>0</v>
      </c>
      <c r="J180" s="18">
        <v>0</v>
      </c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0</v>
      </c>
      <c r="G181" s="18">
        <v>0</v>
      </c>
      <c r="H181" s="24" t="s">
        <v>286</v>
      </c>
      <c r="I181" s="18">
        <v>0</v>
      </c>
      <c r="J181" s="18">
        <v>0</v>
      </c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>
        <v>0</v>
      </c>
      <c r="G182" s="18">
        <v>0</v>
      </c>
      <c r="H182" s="18">
        <v>0</v>
      </c>
      <c r="I182" s="24" t="s">
        <v>286</v>
      </c>
      <c r="J182" s="18">
        <v>0</v>
      </c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7696.77</v>
      </c>
      <c r="H183" s="41">
        <f>SUM(H179:H182)</f>
        <v>0</v>
      </c>
      <c r="I183" s="41">
        <f>SUM(I179:I182)</f>
        <v>0</v>
      </c>
      <c r="J183" s="41">
        <f>SUM(J179:J182)</f>
        <v>272758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91182</v>
      </c>
      <c r="G185" s="18">
        <v>0</v>
      </c>
      <c r="H185" s="18">
        <v>0</v>
      </c>
      <c r="I185" s="18">
        <v>0</v>
      </c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91182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91182</v>
      </c>
      <c r="G192" s="41">
        <f>G183+SUM(G188:G191)</f>
        <v>7696.77</v>
      </c>
      <c r="H192" s="41">
        <f>+H183+SUM(H188:H191)</f>
        <v>0</v>
      </c>
      <c r="I192" s="41">
        <f>I177+I183+SUM(I188:I191)</f>
        <v>1790000</v>
      </c>
      <c r="J192" s="41">
        <f>J183</f>
        <v>272758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6605492.9699999997</v>
      </c>
      <c r="G193" s="47">
        <f>G112+G140+G169+G192</f>
        <v>76239.490000000005</v>
      </c>
      <c r="H193" s="47">
        <f>H112+H140+H169+H192</f>
        <v>111377.32999999999</v>
      </c>
      <c r="I193" s="47">
        <f>I112+I140+I169+I192</f>
        <v>1790000</v>
      </c>
      <c r="J193" s="47">
        <f>J112+J140+J192</f>
        <v>278513.36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802559.88+96646.79+44437.38+7721</f>
        <v>951365.05</v>
      </c>
      <c r="G197" s="18">
        <f>18596.16+420183.8</f>
        <v>438779.95999999996</v>
      </c>
      <c r="H197" s="18">
        <f>1053.36+3702+58.74</f>
        <v>4814.0999999999995</v>
      </c>
      <c r="I197" s="18">
        <f>16166.15+1599.13+348.69+401.15+2268.67+4107.49+8349.49+5052.9</f>
        <v>38293.67</v>
      </c>
      <c r="J197" s="18">
        <f>692.87</f>
        <v>692.87</v>
      </c>
      <c r="K197" s="18">
        <v>158.5</v>
      </c>
      <c r="L197" s="19">
        <f>SUM(F197:K197)</f>
        <v>1434104.1500000001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81997.53+177242.29+75381</f>
        <v>334620.82</v>
      </c>
      <c r="G198" s="18">
        <f>109054.5</f>
        <v>109054.5</v>
      </c>
      <c r="H198" s="18">
        <f>27658.75+13918.18+9990.7+432.28+7492.04+111.73</f>
        <v>59603.680000000008</v>
      </c>
      <c r="I198" s="18">
        <f>1282.04+2000.74+1482.73</f>
        <v>4765.51</v>
      </c>
      <c r="J198" s="18">
        <f>1051.28+956.97+1381.97</f>
        <v>3390.2200000000003</v>
      </c>
      <c r="K198" s="18">
        <v>75</v>
      </c>
      <c r="L198" s="19">
        <f>SUM(F198:K198)</f>
        <v>511509.73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1000</v>
      </c>
      <c r="G200" s="18">
        <v>81.180000000000007</v>
      </c>
      <c r="H200" s="18">
        <f>9446+1310</f>
        <v>10756</v>
      </c>
      <c r="I200" s="18">
        <v>0</v>
      </c>
      <c r="J200" s="18">
        <v>0</v>
      </c>
      <c r="K200" s="18">
        <v>580</v>
      </c>
      <c r="L200" s="19">
        <f>SUM(F200:K200)</f>
        <v>12417.18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45554.08+51478.9+46730+36318.85+44380.34+13608</f>
        <v>238070.17</v>
      </c>
      <c r="G202" s="18">
        <f>11704.57+32174.1+16663.55+27210.85</f>
        <v>87753.07</v>
      </c>
      <c r="H202" s="18">
        <f>606.69+35326+800+206+3661.67+4940+320</f>
        <v>45860.36</v>
      </c>
      <c r="I202" s="18">
        <f>93.52+1671.72+105.1+717.94+101.94+520.54</f>
        <v>3210.7599999999998</v>
      </c>
      <c r="J202" s="18">
        <v>0</v>
      </c>
      <c r="K202" s="18">
        <f>45</f>
        <v>45</v>
      </c>
      <c r="L202" s="19">
        <f t="shared" ref="L202:L208" si="0">SUM(F202:K202)</f>
        <v>374939.36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36664.1+24533</f>
        <v>61197.1</v>
      </c>
      <c r="G203" s="18">
        <f>20198.15</f>
        <v>20198.150000000001</v>
      </c>
      <c r="H203" s="18">
        <f>12000+5458.4+4140.5</f>
        <v>21598.9</v>
      </c>
      <c r="I203" s="18">
        <f>701.93+4575.08+257.3+885+656.1</f>
        <v>7075.4100000000008</v>
      </c>
      <c r="J203" s="18">
        <f>30236.92</f>
        <v>30236.92</v>
      </c>
      <c r="K203" s="18">
        <v>0</v>
      </c>
      <c r="L203" s="19">
        <f t="shared" si="0"/>
        <v>140306.47999999998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2500+1300+450+100+100</f>
        <v>4450</v>
      </c>
      <c r="G204" s="18">
        <f>185.2+37.1</f>
        <v>222.29999999999998</v>
      </c>
      <c r="H204" s="18">
        <f>872.25+1496.94+574+138428+10750+8717.39+325</f>
        <v>161163.58000000002</v>
      </c>
      <c r="I204" s="18">
        <f>267.22+56.93</f>
        <v>324.15000000000003</v>
      </c>
      <c r="J204" s="18">
        <v>0</v>
      </c>
      <c r="K204" s="18">
        <f>3116.4</f>
        <v>3116.4</v>
      </c>
      <c r="L204" s="19">
        <f t="shared" si="0"/>
        <v>169276.43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94279.9+54940.27+676.8</f>
        <v>149896.96999999997</v>
      </c>
      <c r="G205" s="18">
        <v>53396.23</v>
      </c>
      <c r="H205" s="18">
        <f>2574.99+10538.95+1577.03+389.16+97.6</f>
        <v>15177.730000000001</v>
      </c>
      <c r="I205" s="18">
        <f>758.1</f>
        <v>758.1</v>
      </c>
      <c r="J205" s="18">
        <v>0</v>
      </c>
      <c r="K205" s="18">
        <f>741.2</f>
        <v>741.2</v>
      </c>
      <c r="L205" s="19">
        <f t="shared" si="0"/>
        <v>219970.23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93652.29+1099.2</f>
        <v>94751.489999999991</v>
      </c>
      <c r="G207" s="18">
        <f>18776.37+84.09</f>
        <v>18860.46</v>
      </c>
      <c r="H207" s="18">
        <f>9220.2+7508.14+12254.83+8641+4191.12+525.79</f>
        <v>42341.08</v>
      </c>
      <c r="I207" s="18">
        <f>10042.18+40226.91+721.33+18821.29</f>
        <v>69811.710000000006</v>
      </c>
      <c r="J207" s="18">
        <v>0</v>
      </c>
      <c r="K207" s="18">
        <v>0</v>
      </c>
      <c r="L207" s="19">
        <f t="shared" si="0"/>
        <v>225764.74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0</v>
      </c>
      <c r="G208" s="18">
        <v>0</v>
      </c>
      <c r="H208" s="18">
        <f>233837.36+35438.06+3820.07+23648.4</f>
        <v>296743.89</v>
      </c>
      <c r="I208" s="18">
        <v>0</v>
      </c>
      <c r="J208" s="18">
        <v>0</v>
      </c>
      <c r="K208" s="18">
        <v>0</v>
      </c>
      <c r="L208" s="19">
        <f t="shared" si="0"/>
        <v>296743.89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1835351.6</v>
      </c>
      <c r="G211" s="41">
        <f t="shared" si="1"/>
        <v>728345.85</v>
      </c>
      <c r="H211" s="41">
        <f t="shared" si="1"/>
        <v>658059.32000000007</v>
      </c>
      <c r="I211" s="41">
        <f t="shared" si="1"/>
        <v>124239.31000000001</v>
      </c>
      <c r="J211" s="41">
        <f t="shared" si="1"/>
        <v>34320.009999999995</v>
      </c>
      <c r="K211" s="41">
        <f t="shared" si="1"/>
        <v>4716.1000000000004</v>
      </c>
      <c r="L211" s="41">
        <f t="shared" si="1"/>
        <v>3385032.19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0</v>
      </c>
      <c r="G215" s="18">
        <v>0</v>
      </c>
      <c r="H215" s="18">
        <v>697954.63</v>
      </c>
      <c r="I215" s="18">
        <v>0</v>
      </c>
      <c r="J215" s="18">
        <v>0</v>
      </c>
      <c r="K215" s="18">
        <v>0</v>
      </c>
      <c r="L215" s="19">
        <f>SUM(F215:K215)</f>
        <v>697954.63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0</v>
      </c>
      <c r="G216" s="18">
        <v>0</v>
      </c>
      <c r="H216" s="18">
        <f>25828.25+57568.42+156.7</f>
        <v>83553.37</v>
      </c>
      <c r="I216" s="18">
        <v>0</v>
      </c>
      <c r="J216" s="18">
        <v>0</v>
      </c>
      <c r="K216" s="18">
        <v>0</v>
      </c>
      <c r="L216" s="19">
        <f>SUM(F216:K216)</f>
        <v>83553.37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0</v>
      </c>
      <c r="G220" s="18">
        <v>0</v>
      </c>
      <c r="H220" s="18">
        <f>220.82</f>
        <v>220.82</v>
      </c>
      <c r="I220" s="18">
        <v>0</v>
      </c>
      <c r="J220" s="18">
        <v>0</v>
      </c>
      <c r="K220" s="18">
        <v>0</v>
      </c>
      <c r="L220" s="19">
        <f t="shared" ref="L220:L226" si="2">SUM(F220:K220)</f>
        <v>220.82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0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0</v>
      </c>
      <c r="G222" s="18">
        <v>0</v>
      </c>
      <c r="H222" s="18">
        <v>0</v>
      </c>
      <c r="I222" s="18">
        <v>0</v>
      </c>
      <c r="J222" s="18">
        <v>0</v>
      </c>
      <c r="K222" s="18">
        <v>0</v>
      </c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0</v>
      </c>
      <c r="G223" s="18">
        <v>0</v>
      </c>
      <c r="H223" s="18">
        <v>0</v>
      </c>
      <c r="I223" s="18">
        <v>0</v>
      </c>
      <c r="J223" s="18">
        <v>0</v>
      </c>
      <c r="K223" s="18">
        <v>0</v>
      </c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0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>
        <v>0</v>
      </c>
      <c r="G226" s="18">
        <v>0</v>
      </c>
      <c r="H226" s="18">
        <f>1386.32</f>
        <v>1386.32</v>
      </c>
      <c r="I226" s="18">
        <v>0</v>
      </c>
      <c r="J226" s="18">
        <v>0</v>
      </c>
      <c r="K226" s="18">
        <v>0</v>
      </c>
      <c r="L226" s="19">
        <f t="shared" si="2"/>
        <v>1386.32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>
        <v>0</v>
      </c>
      <c r="G227" s="18">
        <v>0</v>
      </c>
      <c r="H227" s="18">
        <v>0</v>
      </c>
      <c r="I227" s="18">
        <v>0</v>
      </c>
      <c r="J227" s="18">
        <v>0</v>
      </c>
      <c r="K227" s="18">
        <v>0</v>
      </c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783115.1399999999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783115.1399999999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0</v>
      </c>
      <c r="G233" s="18">
        <v>0</v>
      </c>
      <c r="H233" s="18">
        <v>1787702.82</v>
      </c>
      <c r="I233" s="18">
        <v>0</v>
      </c>
      <c r="J233" s="18">
        <v>0</v>
      </c>
      <c r="K233" s="18">
        <v>0</v>
      </c>
      <c r="L233" s="19">
        <f>SUM(F233:K233)</f>
        <v>1787702.82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0</v>
      </c>
      <c r="G234" s="18">
        <v>0</v>
      </c>
      <c r="H234" s="18">
        <f>52954.38+158334.2+29086.1+158.43</f>
        <v>240533.11000000002</v>
      </c>
      <c r="I234" s="18">
        <v>0</v>
      </c>
      <c r="J234" s="18">
        <v>0</v>
      </c>
      <c r="K234" s="18">
        <v>0</v>
      </c>
      <c r="L234" s="19">
        <f>SUM(F234:K234)</f>
        <v>240533.11000000002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0</v>
      </c>
      <c r="G238" s="18">
        <v>0</v>
      </c>
      <c r="H238" s="18">
        <f>689.34</f>
        <v>689.34</v>
      </c>
      <c r="I238" s="18">
        <v>0</v>
      </c>
      <c r="J238" s="18">
        <v>0</v>
      </c>
      <c r="K238" s="18">
        <v>0</v>
      </c>
      <c r="L238" s="19">
        <f t="shared" ref="L238:L244" si="4">SUM(F238:K238)</f>
        <v>689.34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0</v>
      </c>
      <c r="G240" s="18">
        <v>0</v>
      </c>
      <c r="H240" s="18">
        <v>0</v>
      </c>
      <c r="I240" s="18">
        <v>0</v>
      </c>
      <c r="J240" s="18">
        <v>0</v>
      </c>
      <c r="K240" s="18">
        <v>0</v>
      </c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0</v>
      </c>
      <c r="G244" s="18">
        <v>0</v>
      </c>
      <c r="H244" s="18">
        <f>18734.3</f>
        <v>18734.3</v>
      </c>
      <c r="I244" s="18">
        <v>0</v>
      </c>
      <c r="J244" s="18">
        <v>0</v>
      </c>
      <c r="K244" s="18">
        <v>0</v>
      </c>
      <c r="L244" s="19">
        <f t="shared" si="4"/>
        <v>18734.3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2047659.5700000003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2047659.5700000003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123.99</v>
      </c>
      <c r="L253" s="19">
        <f t="shared" si="6"/>
        <v>123.99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>
        <v>0</v>
      </c>
      <c r="G255" s="18">
        <v>0</v>
      </c>
      <c r="H255" s="18">
        <v>91182</v>
      </c>
      <c r="I255" s="18">
        <v>0</v>
      </c>
      <c r="J255" s="18">
        <v>0</v>
      </c>
      <c r="K255" s="18">
        <v>0</v>
      </c>
      <c r="L255" s="19">
        <f t="shared" si="6"/>
        <v>91182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91182</v>
      </c>
      <c r="I256" s="41">
        <f t="shared" si="7"/>
        <v>0</v>
      </c>
      <c r="J256" s="41">
        <f t="shared" si="7"/>
        <v>0</v>
      </c>
      <c r="K256" s="41">
        <f t="shared" si="7"/>
        <v>123.99</v>
      </c>
      <c r="L256" s="41">
        <f>SUM(F256:K256)</f>
        <v>91305.99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1835351.6</v>
      </c>
      <c r="G257" s="41">
        <f t="shared" si="8"/>
        <v>728345.85</v>
      </c>
      <c r="H257" s="41">
        <f t="shared" si="8"/>
        <v>3580016.0300000003</v>
      </c>
      <c r="I257" s="41">
        <f t="shared" si="8"/>
        <v>124239.31000000001</v>
      </c>
      <c r="J257" s="41">
        <f t="shared" si="8"/>
        <v>34320.009999999995</v>
      </c>
      <c r="K257" s="41">
        <f t="shared" si="8"/>
        <v>4840.09</v>
      </c>
      <c r="L257" s="41">
        <f t="shared" si="8"/>
        <v>6307112.8900000006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0</v>
      </c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0</v>
      </c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7696.77</v>
      </c>
      <c r="L263" s="19">
        <f>SUM(F263:K263)</f>
        <v>7696.77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0</v>
      </c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>
        <v>0</v>
      </c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f>241000+31758</f>
        <v>272758</v>
      </c>
      <c r="L266" s="19">
        <f t="shared" si="9"/>
        <v>272758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>
        <v>0</v>
      </c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>
        <v>0</v>
      </c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280454.77</v>
      </c>
      <c r="L270" s="41">
        <f t="shared" si="9"/>
        <v>280454.77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1835351.6</v>
      </c>
      <c r="G271" s="42">
        <f t="shared" si="11"/>
        <v>728345.85</v>
      </c>
      <c r="H271" s="42">
        <f t="shared" si="11"/>
        <v>3580016.0300000003</v>
      </c>
      <c r="I271" s="42">
        <f t="shared" si="11"/>
        <v>124239.31000000001</v>
      </c>
      <c r="J271" s="42">
        <f t="shared" si="11"/>
        <v>34320.009999999995</v>
      </c>
      <c r="K271" s="42">
        <f t="shared" si="11"/>
        <v>285294.86000000004</v>
      </c>
      <c r="L271" s="42">
        <f t="shared" si="11"/>
        <v>6587567.6600000001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350+13205</f>
        <v>13555</v>
      </c>
      <c r="G276" s="18">
        <f>26.78+60.76+138.24+353.28+1009.58+2278.86+45.22+0.6</f>
        <v>3913.3199999999997</v>
      </c>
      <c r="H276" s="18">
        <v>0</v>
      </c>
      <c r="I276" s="18">
        <f>241.88+19242</f>
        <v>19483.88</v>
      </c>
      <c r="J276" s="18">
        <v>0</v>
      </c>
      <c r="K276" s="18">
        <f>463.86</f>
        <v>463.86</v>
      </c>
      <c r="L276" s="19">
        <f>SUM(F276:K276)</f>
        <v>37416.06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f>43652.7</f>
        <v>43652.7</v>
      </c>
      <c r="G277" s="18">
        <f>1618+72+90+3339+7578+39+79</f>
        <v>12815</v>
      </c>
      <c r="H277" s="18">
        <v>0</v>
      </c>
      <c r="I277" s="18">
        <f>94.82</f>
        <v>94.82</v>
      </c>
      <c r="J277" s="18">
        <v>0</v>
      </c>
      <c r="K277" s="18">
        <v>1583.75</v>
      </c>
      <c r="L277" s="19">
        <f>SUM(F277:K277)</f>
        <v>58146.27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0</v>
      </c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f>1096.53</f>
        <v>1096.53</v>
      </c>
      <c r="K281" s="18">
        <v>0</v>
      </c>
      <c r="L281" s="19">
        <f t="shared" ref="L281:L287" si="12">SUM(F281:K281)</f>
        <v>1096.53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f>11617+1622</f>
        <v>13239</v>
      </c>
      <c r="G282" s="18">
        <f>888.88+124+254</f>
        <v>1266.8800000000001</v>
      </c>
      <c r="H282" s="18">
        <v>0</v>
      </c>
      <c r="I282" s="18">
        <v>0</v>
      </c>
      <c r="J282" s="18">
        <v>0</v>
      </c>
      <c r="K282" s="18">
        <f>212.59</f>
        <v>212.59</v>
      </c>
      <c r="L282" s="19">
        <f t="shared" si="12"/>
        <v>14718.470000000001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70446.7</v>
      </c>
      <c r="G290" s="42">
        <f t="shared" si="13"/>
        <v>17995.2</v>
      </c>
      <c r="H290" s="42">
        <f t="shared" si="13"/>
        <v>0</v>
      </c>
      <c r="I290" s="42">
        <f t="shared" si="13"/>
        <v>19578.7</v>
      </c>
      <c r="J290" s="42">
        <f t="shared" si="13"/>
        <v>1096.53</v>
      </c>
      <c r="K290" s="42">
        <f t="shared" si="13"/>
        <v>2260.2000000000003</v>
      </c>
      <c r="L290" s="41">
        <f t="shared" si="13"/>
        <v>111377.32999999999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0</v>
      </c>
      <c r="G296" s="18">
        <v>0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>
        <v>0</v>
      </c>
      <c r="G298" s="18">
        <v>0</v>
      </c>
      <c r="H298" s="18">
        <v>0</v>
      </c>
      <c r="I298" s="18">
        <v>0</v>
      </c>
      <c r="J298" s="18">
        <v>0</v>
      </c>
      <c r="K298" s="18">
        <v>0</v>
      </c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0</v>
      </c>
      <c r="G301" s="18">
        <v>0</v>
      </c>
      <c r="H301" s="18">
        <v>0</v>
      </c>
      <c r="I301" s="18">
        <v>0</v>
      </c>
      <c r="J301" s="18">
        <v>0</v>
      </c>
      <c r="K301" s="18">
        <v>0</v>
      </c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0</v>
      </c>
      <c r="G314" s="18">
        <v>0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70446.7</v>
      </c>
      <c r="G338" s="41">
        <f t="shared" si="20"/>
        <v>17995.2</v>
      </c>
      <c r="H338" s="41">
        <f t="shared" si="20"/>
        <v>0</v>
      </c>
      <c r="I338" s="41">
        <f t="shared" si="20"/>
        <v>19578.7</v>
      </c>
      <c r="J338" s="41">
        <f t="shared" si="20"/>
        <v>1096.53</v>
      </c>
      <c r="K338" s="41">
        <f t="shared" si="20"/>
        <v>2260.2000000000003</v>
      </c>
      <c r="L338" s="41">
        <f t="shared" si="20"/>
        <v>111377.32999999999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>
        <v>0</v>
      </c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>
        <v>0</v>
      </c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>
        <v>0</v>
      </c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>
        <v>0</v>
      </c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70446.7</v>
      </c>
      <c r="G352" s="41">
        <f>G338</f>
        <v>17995.2</v>
      </c>
      <c r="H352" s="41">
        <f>H338</f>
        <v>0</v>
      </c>
      <c r="I352" s="41">
        <f>I338</f>
        <v>19578.7</v>
      </c>
      <c r="J352" s="41">
        <f>J338</f>
        <v>1096.53</v>
      </c>
      <c r="K352" s="47">
        <f>K338+K351</f>
        <v>2260.2000000000003</v>
      </c>
      <c r="L352" s="41">
        <f>L338+L351</f>
        <v>111377.32999999999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28144.53</v>
      </c>
      <c r="G358" s="18">
        <v>3463.58</v>
      </c>
      <c r="H358" s="18">
        <f>6000+235+1569.87</f>
        <v>7804.87</v>
      </c>
      <c r="I358" s="18">
        <f>2197.41+28324.01+3304.79+403+2341.24</f>
        <v>36570.449999999997</v>
      </c>
      <c r="J358" s="18">
        <v>256.06</v>
      </c>
      <c r="K358" s="18">
        <v>0</v>
      </c>
      <c r="L358" s="13">
        <f>SUM(F358:K358)</f>
        <v>76239.489999999991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0</v>
      </c>
      <c r="G360" s="18">
        <v>0</v>
      </c>
      <c r="H360" s="18">
        <v>0</v>
      </c>
      <c r="I360" s="18">
        <v>0</v>
      </c>
      <c r="J360" s="18">
        <v>0</v>
      </c>
      <c r="K360" s="18">
        <v>0</v>
      </c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>
        <v>0</v>
      </c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28144.53</v>
      </c>
      <c r="G362" s="47">
        <f t="shared" si="22"/>
        <v>3463.58</v>
      </c>
      <c r="H362" s="47">
        <f t="shared" si="22"/>
        <v>7804.87</v>
      </c>
      <c r="I362" s="47">
        <f t="shared" si="22"/>
        <v>36570.449999999997</v>
      </c>
      <c r="J362" s="47">
        <f t="shared" si="22"/>
        <v>256.06</v>
      </c>
      <c r="K362" s="47">
        <f t="shared" si="22"/>
        <v>0</v>
      </c>
      <c r="L362" s="47">
        <f t="shared" si="22"/>
        <v>76239.489999999991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28324.01+3304.79+2341.24</f>
        <v>33970.04</v>
      </c>
      <c r="G367" s="18">
        <v>0</v>
      </c>
      <c r="H367" s="18">
        <v>0</v>
      </c>
      <c r="I367" s="56">
        <f>SUM(F367:H367)</f>
        <v>33970.04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f>2197.41+403</f>
        <v>2600.41</v>
      </c>
      <c r="G368" s="63">
        <v>0</v>
      </c>
      <c r="H368" s="63">
        <v>0</v>
      </c>
      <c r="I368" s="56">
        <f>SUM(F368:H368)</f>
        <v>2600.41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36570.449999999997</v>
      </c>
      <c r="G369" s="47">
        <f>SUM(G367:G368)</f>
        <v>0</v>
      </c>
      <c r="H369" s="47">
        <f>SUM(H367:H368)</f>
        <v>0</v>
      </c>
      <c r="I369" s="47">
        <f>SUM(I367:I368)</f>
        <v>36570.449999999997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>
        <v>0</v>
      </c>
      <c r="G376" s="18">
        <v>0</v>
      </c>
      <c r="H376" s="18">
        <v>29353.35</v>
      </c>
      <c r="I376" s="18">
        <v>0</v>
      </c>
      <c r="J376" s="18">
        <v>0</v>
      </c>
      <c r="K376" s="18">
        <v>0</v>
      </c>
      <c r="L376" s="13">
        <f t="shared" si="23"/>
        <v>29353.35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>
        <v>0</v>
      </c>
      <c r="G378" s="18">
        <v>0</v>
      </c>
      <c r="H378" s="18">
        <v>451429.04</v>
      </c>
      <c r="I378" s="18">
        <v>0</v>
      </c>
      <c r="J378" s="18">
        <v>0</v>
      </c>
      <c r="K378" s="18">
        <v>0</v>
      </c>
      <c r="L378" s="13">
        <f t="shared" si="23"/>
        <v>451429.04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>
        <v>0</v>
      </c>
      <c r="G379" s="18">
        <v>0</v>
      </c>
      <c r="H379" s="18">
        <v>3913.3</v>
      </c>
      <c r="I379" s="18">
        <v>0</v>
      </c>
      <c r="J379" s="18">
        <v>0</v>
      </c>
      <c r="K379" s="18">
        <v>0</v>
      </c>
      <c r="L379" s="13">
        <f t="shared" si="23"/>
        <v>3913.3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>
        <v>0</v>
      </c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484695.68999999994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484695.68999999994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>
        <v>0</v>
      </c>
      <c r="G387" s="18">
        <v>0</v>
      </c>
      <c r="H387" s="18">
        <v>0</v>
      </c>
      <c r="I387" s="18">
        <v>0</v>
      </c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>
        <v>0</v>
      </c>
      <c r="G396" s="18">
        <f>241000+31758</f>
        <v>272758</v>
      </c>
      <c r="H396" s="18">
        <f>94.36+272.69+288.38+320.29+318.33+346.75+386.77+375.05+440.28+489.45+510.07+418.75+3.04+3.43+3.4+3.66+3.64+3.96+4.42+4.29+5.03+5.6+6.3+6.42</f>
        <v>4314.3600000000006</v>
      </c>
      <c r="I396" s="18">
        <v>0</v>
      </c>
      <c r="J396" s="24" t="s">
        <v>286</v>
      </c>
      <c r="K396" s="24" t="s">
        <v>286</v>
      </c>
      <c r="L396" s="56">
        <f t="shared" si="26"/>
        <v>277072.36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>
        <v>0</v>
      </c>
      <c r="G397" s="18">
        <v>0</v>
      </c>
      <c r="H397" s="18">
        <f>1624.89-183.89</f>
        <v>1441</v>
      </c>
      <c r="I397" s="18">
        <v>0</v>
      </c>
      <c r="J397" s="24" t="s">
        <v>286</v>
      </c>
      <c r="K397" s="24" t="s">
        <v>286</v>
      </c>
      <c r="L397" s="56">
        <f t="shared" si="26"/>
        <v>1441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>
        <v>0</v>
      </c>
      <c r="G400" s="18">
        <v>0</v>
      </c>
      <c r="H400" s="18">
        <v>0</v>
      </c>
      <c r="I400" s="18">
        <v>0</v>
      </c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272758</v>
      </c>
      <c r="H401" s="47">
        <f>SUM(H395:H400)</f>
        <v>5755.3600000000006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278513.36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272758</v>
      </c>
      <c r="H408" s="47">
        <f>H393+H401+H407</f>
        <v>5755.3600000000006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278513.36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91182</v>
      </c>
      <c r="L415" s="56">
        <f t="shared" si="27"/>
        <v>91182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91182</v>
      </c>
      <c r="L419" s="47">
        <f t="shared" si="28"/>
        <v>91182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>
        <v>0</v>
      </c>
      <c r="G426" s="18">
        <v>0</v>
      </c>
      <c r="H426" s="18">
        <v>0</v>
      </c>
      <c r="I426" s="18">
        <v>0</v>
      </c>
      <c r="J426" s="18">
        <v>0</v>
      </c>
      <c r="K426" s="18">
        <v>0</v>
      </c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91182</v>
      </c>
      <c r="L434" s="47">
        <f t="shared" si="32"/>
        <v>91182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f>267834.17+4106.09+31758</f>
        <v>303698.26</v>
      </c>
      <c r="G439" s="18">
        <v>110600.9</v>
      </c>
      <c r="H439" s="18">
        <v>0</v>
      </c>
      <c r="I439" s="56">
        <f t="shared" ref="I439:I445" si="33">SUM(F439:H439)</f>
        <v>414299.16000000003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>
        <v>0</v>
      </c>
      <c r="G442" s="18">
        <v>0</v>
      </c>
      <c r="H442" s="18">
        <v>0</v>
      </c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303698.26</v>
      </c>
      <c r="G446" s="13">
        <f>SUM(G439:G445)</f>
        <v>110600.9</v>
      </c>
      <c r="H446" s="13">
        <f>SUM(H439:H445)</f>
        <v>0</v>
      </c>
      <c r="I446" s="13">
        <f>SUM(I439:I445)</f>
        <v>414299.16000000003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>
        <v>0</v>
      </c>
      <c r="G449" s="18">
        <v>0</v>
      </c>
      <c r="H449" s="18">
        <v>0</v>
      </c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f>F439</f>
        <v>303698.26</v>
      </c>
      <c r="G459" s="18">
        <f>G439</f>
        <v>110600.9</v>
      </c>
      <c r="H459" s="18">
        <v>0</v>
      </c>
      <c r="I459" s="56">
        <f t="shared" si="34"/>
        <v>414299.16000000003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303698.26</v>
      </c>
      <c r="G460" s="83">
        <f>SUM(G454:G459)</f>
        <v>110600.9</v>
      </c>
      <c r="H460" s="83">
        <f>SUM(H454:H459)</f>
        <v>0</v>
      </c>
      <c r="I460" s="83">
        <f>SUM(I454:I459)</f>
        <v>414299.16000000003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303698.26</v>
      </c>
      <c r="G461" s="42">
        <f>G452+G460</f>
        <v>110600.9</v>
      </c>
      <c r="H461" s="42">
        <f>H452+H460</f>
        <v>0</v>
      </c>
      <c r="I461" s="42">
        <f>I452+I460</f>
        <v>414299.16000000003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f>31758+1436069.2</f>
        <v>1467827.2</v>
      </c>
      <c r="G465" s="18">
        <v>0</v>
      </c>
      <c r="H465" s="18">
        <v>0</v>
      </c>
      <c r="I465" s="18">
        <v>0</v>
      </c>
      <c r="J465" s="18">
        <v>226967.8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F193</f>
        <v>6605492.9699999997</v>
      </c>
      <c r="G468" s="18">
        <f>G193</f>
        <v>76239.490000000005</v>
      </c>
      <c r="H468" s="18">
        <f>H193</f>
        <v>111377.32999999999</v>
      </c>
      <c r="I468" s="18">
        <f>I193</f>
        <v>1790000</v>
      </c>
      <c r="J468" s="18">
        <f>L408</f>
        <v>278513.36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6605492.9699999997</v>
      </c>
      <c r="G470" s="53">
        <f>SUM(G468:G469)</f>
        <v>76239.490000000005</v>
      </c>
      <c r="H470" s="53">
        <f>SUM(H468:H469)</f>
        <v>111377.32999999999</v>
      </c>
      <c r="I470" s="53">
        <f>SUM(I468:I469)</f>
        <v>1790000</v>
      </c>
      <c r="J470" s="53">
        <f>SUM(J468:J469)</f>
        <v>278513.36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f>L271</f>
        <v>6587567.6600000001</v>
      </c>
      <c r="G472" s="18">
        <f>L362</f>
        <v>76239.489999999991</v>
      </c>
      <c r="H472" s="18">
        <f>L352</f>
        <v>111377.32999999999</v>
      </c>
      <c r="I472" s="18">
        <f>L382</f>
        <v>484695.68999999994</v>
      </c>
      <c r="J472" s="18">
        <f>L434</f>
        <v>91182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6587567.6600000001</v>
      </c>
      <c r="G474" s="53">
        <f>SUM(G472:G473)</f>
        <v>76239.489999999991</v>
      </c>
      <c r="H474" s="53">
        <f>SUM(H472:H473)</f>
        <v>111377.32999999999</v>
      </c>
      <c r="I474" s="53">
        <f>SUM(I472:I473)</f>
        <v>484695.68999999994</v>
      </c>
      <c r="J474" s="53">
        <f>SUM(J472:J473)</f>
        <v>91182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1485752.5099999998</v>
      </c>
      <c r="G476" s="53">
        <f>(G465+G470)- G474</f>
        <v>0</v>
      </c>
      <c r="H476" s="53">
        <f>(H465+H470)- H474</f>
        <v>0</v>
      </c>
      <c r="I476" s="53">
        <f>(I465+I470)- I474</f>
        <v>1305304.31</v>
      </c>
      <c r="J476" s="53">
        <f>(J465+J470)- J474</f>
        <v>414299.16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F198+F277</f>
        <v>378273.52</v>
      </c>
      <c r="G521" s="18">
        <f t="shared" ref="G521:K521" si="36">G198+G277</f>
        <v>121869.5</v>
      </c>
      <c r="H521" s="18">
        <f t="shared" si="36"/>
        <v>59603.680000000008</v>
      </c>
      <c r="I521" s="18">
        <f t="shared" si="36"/>
        <v>4860.33</v>
      </c>
      <c r="J521" s="18">
        <f t="shared" si="36"/>
        <v>3390.2200000000003</v>
      </c>
      <c r="K521" s="18">
        <f t="shared" si="36"/>
        <v>1658.75</v>
      </c>
      <c r="L521" s="88">
        <f>SUM(F521:K521)</f>
        <v>569656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f>F216+F296</f>
        <v>0</v>
      </c>
      <c r="G522" s="18">
        <f t="shared" ref="G522:K522" si="37">G216+G296</f>
        <v>0</v>
      </c>
      <c r="H522" s="18">
        <f t="shared" si="37"/>
        <v>83553.37</v>
      </c>
      <c r="I522" s="18">
        <f t="shared" si="37"/>
        <v>0</v>
      </c>
      <c r="J522" s="18">
        <f t="shared" si="37"/>
        <v>0</v>
      </c>
      <c r="K522" s="18">
        <f t="shared" si="37"/>
        <v>0</v>
      </c>
      <c r="L522" s="88">
        <f>SUM(F522:K522)</f>
        <v>83553.37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f>F234+F315</f>
        <v>0</v>
      </c>
      <c r="G523" s="18">
        <f t="shared" ref="G523:K523" si="38">G234+G315</f>
        <v>0</v>
      </c>
      <c r="H523" s="18">
        <f t="shared" si="38"/>
        <v>240533.11000000002</v>
      </c>
      <c r="I523" s="18">
        <f t="shared" si="38"/>
        <v>0</v>
      </c>
      <c r="J523" s="18">
        <f t="shared" si="38"/>
        <v>0</v>
      </c>
      <c r="K523" s="18">
        <f t="shared" si="38"/>
        <v>0</v>
      </c>
      <c r="L523" s="88">
        <f>SUM(F523:K523)</f>
        <v>240533.11000000002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378273.52</v>
      </c>
      <c r="G524" s="108">
        <f t="shared" ref="G524:L524" si="39">SUM(G521:G523)</f>
        <v>121869.5</v>
      </c>
      <c r="H524" s="108">
        <f t="shared" si="39"/>
        <v>383690.16000000003</v>
      </c>
      <c r="I524" s="108">
        <f t="shared" si="39"/>
        <v>4860.33</v>
      </c>
      <c r="J524" s="108">
        <f t="shared" si="39"/>
        <v>3390.2200000000003</v>
      </c>
      <c r="K524" s="108">
        <f t="shared" si="39"/>
        <v>1658.75</v>
      </c>
      <c r="L524" s="89">
        <f t="shared" si="39"/>
        <v>893742.48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f>46730+36318.85+44380.34+13608</f>
        <v>141037.19</v>
      </c>
      <c r="G526" s="18">
        <f>16663.55+27210.85</f>
        <v>43874.399999999994</v>
      </c>
      <c r="H526" s="18">
        <f>35326+800+206+3661.67+4940</f>
        <v>44933.67</v>
      </c>
      <c r="I526" s="18">
        <f>717.94+101.94+520.54</f>
        <v>1340.42</v>
      </c>
      <c r="J526" s="18">
        <v>0</v>
      </c>
      <c r="K526" s="18">
        <v>0</v>
      </c>
      <c r="L526" s="88">
        <f>SUM(F526:K526)</f>
        <v>231185.68000000002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0</v>
      </c>
      <c r="G527" s="18">
        <v>0</v>
      </c>
      <c r="H527" s="18">
        <f>220.82</f>
        <v>220.82</v>
      </c>
      <c r="I527" s="18">
        <v>0</v>
      </c>
      <c r="J527" s="18">
        <v>0</v>
      </c>
      <c r="K527" s="18">
        <v>0</v>
      </c>
      <c r="L527" s="88">
        <f>SUM(F527:K527)</f>
        <v>220.82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0</v>
      </c>
      <c r="G528" s="18">
        <v>0</v>
      </c>
      <c r="H528" s="18">
        <f>689.34</f>
        <v>689.34</v>
      </c>
      <c r="I528" s="18">
        <v>0</v>
      </c>
      <c r="J528" s="18">
        <v>0</v>
      </c>
      <c r="K528" s="18">
        <v>0</v>
      </c>
      <c r="L528" s="88">
        <f>SUM(F528:K528)</f>
        <v>689.34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141037.19</v>
      </c>
      <c r="G529" s="89">
        <f t="shared" ref="G529:L529" si="40">SUM(G526:G528)</f>
        <v>43874.399999999994</v>
      </c>
      <c r="H529" s="89">
        <f t="shared" si="40"/>
        <v>45843.829999999994</v>
      </c>
      <c r="I529" s="89">
        <f t="shared" si="40"/>
        <v>1340.42</v>
      </c>
      <c r="J529" s="89">
        <f t="shared" si="40"/>
        <v>0</v>
      </c>
      <c r="K529" s="89">
        <f t="shared" si="40"/>
        <v>0</v>
      </c>
      <c r="L529" s="89">
        <f t="shared" si="40"/>
        <v>232095.84000000003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0</v>
      </c>
      <c r="G531" s="18">
        <v>0</v>
      </c>
      <c r="H531" s="18">
        <v>33086.559999999998</v>
      </c>
      <c r="I531" s="18">
        <v>0</v>
      </c>
      <c r="J531" s="18">
        <v>0</v>
      </c>
      <c r="K531" s="18">
        <v>0</v>
      </c>
      <c r="L531" s="88">
        <f>SUM(F531:K531)</f>
        <v>33086.559999999998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0</v>
      </c>
      <c r="G532" s="18">
        <v>0</v>
      </c>
      <c r="H532" s="18">
        <v>0</v>
      </c>
      <c r="I532" s="18">
        <v>0</v>
      </c>
      <c r="J532" s="18">
        <v>0</v>
      </c>
      <c r="K532" s="18">
        <v>0</v>
      </c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0</v>
      </c>
      <c r="G533" s="18">
        <v>0</v>
      </c>
      <c r="H533" s="18">
        <v>0</v>
      </c>
      <c r="I533" s="18">
        <v>0</v>
      </c>
      <c r="J533" s="18">
        <v>0</v>
      </c>
      <c r="K533" s="18">
        <v>0</v>
      </c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41">SUM(G531:G533)</f>
        <v>0</v>
      </c>
      <c r="H534" s="89">
        <f t="shared" si="41"/>
        <v>33086.559999999998</v>
      </c>
      <c r="I534" s="89">
        <f t="shared" si="41"/>
        <v>0</v>
      </c>
      <c r="J534" s="89">
        <f t="shared" si="41"/>
        <v>0</v>
      </c>
      <c r="K534" s="89">
        <f t="shared" si="41"/>
        <v>0</v>
      </c>
      <c r="L534" s="89">
        <f t="shared" si="41"/>
        <v>33086.559999999998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>
        <v>0</v>
      </c>
      <c r="G536" s="18">
        <v>0</v>
      </c>
      <c r="H536" s="18">
        <v>0</v>
      </c>
      <c r="I536" s="18">
        <v>0</v>
      </c>
      <c r="J536" s="18">
        <v>0</v>
      </c>
      <c r="K536" s="18">
        <v>0</v>
      </c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>
        <v>0</v>
      </c>
      <c r="G537" s="18">
        <v>0</v>
      </c>
      <c r="H537" s="18">
        <v>0</v>
      </c>
      <c r="I537" s="18">
        <v>0</v>
      </c>
      <c r="J537" s="18">
        <v>0</v>
      </c>
      <c r="K537" s="18">
        <v>0</v>
      </c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>
        <v>0</v>
      </c>
      <c r="G538" s="18">
        <v>0</v>
      </c>
      <c r="H538" s="18">
        <v>0</v>
      </c>
      <c r="I538" s="18">
        <v>0</v>
      </c>
      <c r="J538" s="18">
        <v>0</v>
      </c>
      <c r="K538" s="18">
        <v>0</v>
      </c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42">SUM(G536:G538)</f>
        <v>0</v>
      </c>
      <c r="H539" s="89">
        <f t="shared" si="42"/>
        <v>0</v>
      </c>
      <c r="I539" s="89">
        <f t="shared" si="42"/>
        <v>0</v>
      </c>
      <c r="J539" s="89">
        <f t="shared" si="42"/>
        <v>0</v>
      </c>
      <c r="K539" s="89">
        <f t="shared" si="42"/>
        <v>0</v>
      </c>
      <c r="L539" s="89">
        <f t="shared" si="42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>
        <v>0</v>
      </c>
      <c r="G541" s="18">
        <v>0</v>
      </c>
      <c r="H541" s="18">
        <v>35438.06</v>
      </c>
      <c r="I541" s="18">
        <v>0</v>
      </c>
      <c r="J541" s="18">
        <v>0</v>
      </c>
      <c r="K541" s="18">
        <v>0</v>
      </c>
      <c r="L541" s="88">
        <f>SUM(F541:K541)</f>
        <v>35438.06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>
        <v>0</v>
      </c>
      <c r="G542" s="18">
        <v>0</v>
      </c>
      <c r="H542" s="18">
        <v>1386.32</v>
      </c>
      <c r="I542" s="18">
        <v>0</v>
      </c>
      <c r="J542" s="18">
        <v>0</v>
      </c>
      <c r="K542" s="18">
        <v>0</v>
      </c>
      <c r="L542" s="88">
        <f>SUM(F542:K542)</f>
        <v>1386.32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>
        <v>0</v>
      </c>
      <c r="G543" s="18">
        <v>0</v>
      </c>
      <c r="H543" s="18">
        <v>18734.3</v>
      </c>
      <c r="I543" s="18">
        <v>0</v>
      </c>
      <c r="J543" s="18">
        <v>0</v>
      </c>
      <c r="K543" s="18">
        <v>0</v>
      </c>
      <c r="L543" s="88">
        <f>SUM(F543:K543)</f>
        <v>18734.3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3">SUM(G541:G543)</f>
        <v>0</v>
      </c>
      <c r="H544" s="193">
        <f t="shared" si="43"/>
        <v>55558.679999999993</v>
      </c>
      <c r="I544" s="193">
        <f t="shared" si="43"/>
        <v>0</v>
      </c>
      <c r="J544" s="193">
        <f t="shared" si="43"/>
        <v>0</v>
      </c>
      <c r="K544" s="193">
        <f t="shared" si="43"/>
        <v>0</v>
      </c>
      <c r="L544" s="193">
        <f t="shared" si="43"/>
        <v>55558.679999999993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519310.71</v>
      </c>
      <c r="G545" s="89">
        <f t="shared" ref="G545:L545" si="44">G524+G529+G534+G539+G544</f>
        <v>165743.9</v>
      </c>
      <c r="H545" s="89">
        <f t="shared" si="44"/>
        <v>518179.23000000004</v>
      </c>
      <c r="I545" s="89">
        <f t="shared" si="44"/>
        <v>6200.75</v>
      </c>
      <c r="J545" s="89">
        <f t="shared" si="44"/>
        <v>3390.2200000000003</v>
      </c>
      <c r="K545" s="89">
        <f t="shared" si="44"/>
        <v>1658.75</v>
      </c>
      <c r="L545" s="89">
        <f t="shared" si="44"/>
        <v>1214483.56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569656</v>
      </c>
      <c r="G549" s="87">
        <f>L526</f>
        <v>231185.68000000002</v>
      </c>
      <c r="H549" s="87">
        <f>L531</f>
        <v>33086.559999999998</v>
      </c>
      <c r="I549" s="87">
        <f>L536</f>
        <v>0</v>
      </c>
      <c r="J549" s="87">
        <f>L541</f>
        <v>35438.06</v>
      </c>
      <c r="K549" s="87">
        <f>SUM(F549:J549)</f>
        <v>869366.3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83553.37</v>
      </c>
      <c r="G550" s="87">
        <f>L527</f>
        <v>220.82</v>
      </c>
      <c r="H550" s="87">
        <f>L532</f>
        <v>0</v>
      </c>
      <c r="I550" s="87">
        <f>L537</f>
        <v>0</v>
      </c>
      <c r="J550" s="87">
        <f>L542</f>
        <v>1386.32</v>
      </c>
      <c r="K550" s="87">
        <f>SUM(F550:J550)</f>
        <v>85160.510000000009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240533.11000000002</v>
      </c>
      <c r="G551" s="87">
        <f>L528</f>
        <v>689.34</v>
      </c>
      <c r="H551" s="87">
        <f>L533</f>
        <v>0</v>
      </c>
      <c r="I551" s="87">
        <f>L538</f>
        <v>0</v>
      </c>
      <c r="J551" s="87">
        <f>L543</f>
        <v>18734.3</v>
      </c>
      <c r="K551" s="87">
        <f>SUM(F551:J551)</f>
        <v>259956.75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5">SUM(F549:F551)</f>
        <v>893742.48</v>
      </c>
      <c r="G552" s="89">
        <f t="shared" si="45"/>
        <v>232095.84000000003</v>
      </c>
      <c r="H552" s="89">
        <f t="shared" si="45"/>
        <v>33086.559999999998</v>
      </c>
      <c r="I552" s="89">
        <f t="shared" si="45"/>
        <v>0</v>
      </c>
      <c r="J552" s="89">
        <f t="shared" si="45"/>
        <v>55558.679999999993</v>
      </c>
      <c r="K552" s="89">
        <f t="shared" si="45"/>
        <v>1214483.56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>
        <v>0</v>
      </c>
      <c r="G557" s="18">
        <v>0</v>
      </c>
      <c r="H557" s="18">
        <v>0</v>
      </c>
      <c r="I557" s="18">
        <v>0</v>
      </c>
      <c r="J557" s="18">
        <v>0</v>
      </c>
      <c r="K557" s="18">
        <v>0</v>
      </c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>
        <v>0</v>
      </c>
      <c r="G558" s="18">
        <v>0</v>
      </c>
      <c r="H558" s="18">
        <v>0</v>
      </c>
      <c r="I558" s="18">
        <v>0</v>
      </c>
      <c r="J558" s="18">
        <v>0</v>
      </c>
      <c r="K558" s="18">
        <v>0</v>
      </c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>
        <v>0</v>
      </c>
      <c r="G559" s="18">
        <v>0</v>
      </c>
      <c r="H559" s="18">
        <v>0</v>
      </c>
      <c r="I559" s="18">
        <v>0</v>
      </c>
      <c r="J559" s="18">
        <v>0</v>
      </c>
      <c r="K559" s="18">
        <v>0</v>
      </c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6">SUM(F557:F559)</f>
        <v>0</v>
      </c>
      <c r="G560" s="108">
        <f t="shared" si="46"/>
        <v>0</v>
      </c>
      <c r="H560" s="108">
        <f t="shared" si="46"/>
        <v>0</v>
      </c>
      <c r="I560" s="108">
        <f t="shared" si="46"/>
        <v>0</v>
      </c>
      <c r="J560" s="108">
        <f t="shared" si="46"/>
        <v>0</v>
      </c>
      <c r="K560" s="108">
        <f t="shared" si="46"/>
        <v>0</v>
      </c>
      <c r="L560" s="89">
        <f t="shared" si="46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0</v>
      </c>
      <c r="G563" s="18">
        <v>0</v>
      </c>
      <c r="H563" s="18">
        <v>0</v>
      </c>
      <c r="I563" s="18">
        <v>0</v>
      </c>
      <c r="J563" s="18">
        <v>0</v>
      </c>
      <c r="K563" s="18">
        <v>0</v>
      </c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7">SUM(F562:F564)</f>
        <v>0</v>
      </c>
      <c r="G565" s="89">
        <f t="shared" si="47"/>
        <v>0</v>
      </c>
      <c r="H565" s="89">
        <f t="shared" si="47"/>
        <v>0</v>
      </c>
      <c r="I565" s="89">
        <f t="shared" si="47"/>
        <v>0</v>
      </c>
      <c r="J565" s="89">
        <f t="shared" si="47"/>
        <v>0</v>
      </c>
      <c r="K565" s="89">
        <f t="shared" si="47"/>
        <v>0</v>
      </c>
      <c r="L565" s="89">
        <f t="shared" si="47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>
        <v>0</v>
      </c>
      <c r="G567" s="18">
        <v>0</v>
      </c>
      <c r="H567" s="18">
        <v>0</v>
      </c>
      <c r="I567" s="18">
        <v>0</v>
      </c>
      <c r="J567" s="18">
        <v>0</v>
      </c>
      <c r="K567" s="18">
        <v>0</v>
      </c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>
        <v>0</v>
      </c>
      <c r="G568" s="18">
        <v>0</v>
      </c>
      <c r="H568" s="18">
        <v>0</v>
      </c>
      <c r="I568" s="18">
        <v>0</v>
      </c>
      <c r="J568" s="18">
        <v>0</v>
      </c>
      <c r="K568" s="18">
        <v>0</v>
      </c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8">SUM(G567:G569)</f>
        <v>0</v>
      </c>
      <c r="H570" s="193">
        <f t="shared" si="48"/>
        <v>0</v>
      </c>
      <c r="I570" s="193">
        <f t="shared" si="48"/>
        <v>0</v>
      </c>
      <c r="J570" s="193">
        <f t="shared" si="48"/>
        <v>0</v>
      </c>
      <c r="K570" s="193">
        <f t="shared" si="48"/>
        <v>0</v>
      </c>
      <c r="L570" s="193">
        <f t="shared" si="48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9">G560+G565+G570</f>
        <v>0</v>
      </c>
      <c r="H571" s="89">
        <f t="shared" si="49"/>
        <v>0</v>
      </c>
      <c r="I571" s="89">
        <f t="shared" si="49"/>
        <v>0</v>
      </c>
      <c r="J571" s="89">
        <f t="shared" si="49"/>
        <v>0</v>
      </c>
      <c r="K571" s="89">
        <f t="shared" si="49"/>
        <v>0</v>
      </c>
      <c r="L571" s="89">
        <f t="shared" si="49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0</v>
      </c>
      <c r="G575" s="18">
        <v>697954.63</v>
      </c>
      <c r="H575" s="18">
        <v>1787702.82</v>
      </c>
      <c r="I575" s="87">
        <f>SUM(F575:H575)</f>
        <v>2485657.4500000002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50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>
        <v>0</v>
      </c>
      <c r="I577" s="87">
        <f t="shared" si="50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>
        <v>0</v>
      </c>
      <c r="G578" s="18">
        <v>0</v>
      </c>
      <c r="H578" s="18">
        <v>0</v>
      </c>
      <c r="I578" s="87">
        <f t="shared" si="50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7492.04</v>
      </c>
      <c r="G579" s="18">
        <v>0</v>
      </c>
      <c r="H579" s="18">
        <v>0</v>
      </c>
      <c r="I579" s="87">
        <f t="shared" si="50"/>
        <v>7492.04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50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>
        <v>0</v>
      </c>
      <c r="I581" s="87">
        <f t="shared" si="50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23908.880000000001</v>
      </c>
      <c r="G582" s="18">
        <v>0</v>
      </c>
      <c r="H582" s="18">
        <v>29086.1</v>
      </c>
      <c r="I582" s="87">
        <f t="shared" si="50"/>
        <v>52994.979999999996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50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>
        <v>0</v>
      </c>
      <c r="G584" s="18">
        <v>0</v>
      </c>
      <c r="H584" s="18">
        <v>0</v>
      </c>
      <c r="I584" s="87">
        <f t="shared" si="50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>
        <v>0</v>
      </c>
      <c r="G585" s="18">
        <v>0</v>
      </c>
      <c r="H585" s="18">
        <v>0</v>
      </c>
      <c r="I585" s="87">
        <f t="shared" si="50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>
        <v>0</v>
      </c>
      <c r="I586" s="87">
        <f t="shared" si="50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>
        <v>0</v>
      </c>
      <c r="G587" s="18">
        <v>0</v>
      </c>
      <c r="H587" s="18">
        <v>0</v>
      </c>
      <c r="I587" s="87">
        <f t="shared" si="50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257485.76</v>
      </c>
      <c r="I591" s="18">
        <v>0</v>
      </c>
      <c r="J591" s="18">
        <v>0</v>
      </c>
      <c r="K591" s="104">
        <f t="shared" ref="K591:K597" si="51">SUM(H591:J591)</f>
        <v>257485.76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35438.06</v>
      </c>
      <c r="I592" s="18">
        <v>1386.32</v>
      </c>
      <c r="J592" s="18">
        <v>18734.3</v>
      </c>
      <c r="K592" s="104">
        <f t="shared" si="51"/>
        <v>55558.679999999993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51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0</v>
      </c>
      <c r="I594" s="18">
        <v>0</v>
      </c>
      <c r="J594" s="18">
        <v>0</v>
      </c>
      <c r="K594" s="104">
        <f t="shared" si="51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3820.07</v>
      </c>
      <c r="I595" s="18">
        <v>0</v>
      </c>
      <c r="J595" s="18">
        <v>0</v>
      </c>
      <c r="K595" s="104">
        <f t="shared" si="51"/>
        <v>3820.07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51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51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296743.89</v>
      </c>
      <c r="I598" s="108">
        <f>SUM(I591:I597)</f>
        <v>1386.32</v>
      </c>
      <c r="J598" s="108">
        <f>SUM(J591:J597)</f>
        <v>18734.3</v>
      </c>
      <c r="K598" s="108">
        <f>SUM(K591:K597)</f>
        <v>316864.51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35416.54</v>
      </c>
      <c r="I604" s="18">
        <v>0</v>
      </c>
      <c r="J604" s="18">
        <v>0</v>
      </c>
      <c r="K604" s="104">
        <f>SUM(H604:J604)</f>
        <v>35416.54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35416.54</v>
      </c>
      <c r="I605" s="108">
        <f>SUM(I602:I604)</f>
        <v>0</v>
      </c>
      <c r="J605" s="108">
        <f>SUM(J602:J604)</f>
        <v>0</v>
      </c>
      <c r="K605" s="108">
        <f>SUM(K602:K604)</f>
        <v>35416.54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0</v>
      </c>
      <c r="G611" s="18">
        <v>0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0</v>
      </c>
      <c r="G613" s="18">
        <v>0</v>
      </c>
      <c r="H613" s="18">
        <v>0</v>
      </c>
      <c r="I613" s="18">
        <v>0</v>
      </c>
      <c r="J613" s="18">
        <v>0</v>
      </c>
      <c r="K613" s="18">
        <v>0</v>
      </c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52">SUM(F611:F613)</f>
        <v>0</v>
      </c>
      <c r="G614" s="108">
        <f t="shared" si="52"/>
        <v>0</v>
      </c>
      <c r="H614" s="108">
        <f t="shared" si="52"/>
        <v>0</v>
      </c>
      <c r="I614" s="108">
        <f t="shared" si="52"/>
        <v>0</v>
      </c>
      <c r="J614" s="108">
        <f t="shared" si="52"/>
        <v>0</v>
      </c>
      <c r="K614" s="108">
        <f t="shared" si="52"/>
        <v>0</v>
      </c>
      <c r="L614" s="89">
        <f t="shared" si="52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2947690.4899999998</v>
      </c>
      <c r="H617" s="109">
        <f>SUM(F52)</f>
        <v>2947690.49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148079.75</v>
      </c>
      <c r="H618" s="109">
        <f>SUM(G52)</f>
        <v>148079.75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235751.21000000002</v>
      </c>
      <c r="H619" s="109">
        <f>SUM(H52)</f>
        <v>235751.21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1305304.31</v>
      </c>
      <c r="H620" s="109">
        <f>SUM(I52)</f>
        <v>1305304.31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414299.16000000003</v>
      </c>
      <c r="H621" s="109">
        <f>SUM(J52)</f>
        <v>414299.16000000003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1485752.51</v>
      </c>
      <c r="H622" s="109">
        <f>F476</f>
        <v>1485752.5099999998</v>
      </c>
      <c r="I622" s="121" t="s">
        <v>101</v>
      </c>
      <c r="J622" s="109">
        <f t="shared" ref="J622:J655" si="53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3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3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1305304.31</v>
      </c>
      <c r="H625" s="109">
        <f>I476</f>
        <v>1305304.31</v>
      </c>
      <c r="I625" s="121" t="s">
        <v>104</v>
      </c>
      <c r="J625" s="109">
        <f t="shared" si="53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414299.16000000003</v>
      </c>
      <c r="H626" s="109">
        <f>J476</f>
        <v>414299.16</v>
      </c>
      <c r="I626" s="140" t="s">
        <v>105</v>
      </c>
      <c r="J626" s="109">
        <f t="shared" si="53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6605492.9699999997</v>
      </c>
      <c r="H627" s="104">
        <f>SUM(F468)</f>
        <v>6605492.9699999997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76239.490000000005</v>
      </c>
      <c r="H628" s="104">
        <f>SUM(G468)</f>
        <v>76239.490000000005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111377.32999999999</v>
      </c>
      <c r="H629" s="104">
        <f>SUM(H468)</f>
        <v>111377.32999999999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1790000</v>
      </c>
      <c r="H630" s="104">
        <f>SUM(I468)</f>
        <v>1790000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278513.36</v>
      </c>
      <c r="H631" s="104">
        <f>SUM(J468)</f>
        <v>278513.36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6587567.6600000001</v>
      </c>
      <c r="H632" s="104">
        <f>SUM(F472)</f>
        <v>6587567.6600000001</v>
      </c>
      <c r="I632" s="140" t="s">
        <v>111</v>
      </c>
      <c r="J632" s="109">
        <f t="shared" si="53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111377.32999999999</v>
      </c>
      <c r="H633" s="104">
        <f>SUM(H472)</f>
        <v>111377.32999999999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36570.449999999997</v>
      </c>
      <c r="H634" s="104">
        <f>I369</f>
        <v>36570.449999999997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76239.489999999991</v>
      </c>
      <c r="H635" s="104">
        <f>SUM(G472)</f>
        <v>76239.489999999991</v>
      </c>
      <c r="I635" s="140" t="s">
        <v>114</v>
      </c>
      <c r="J635" s="109">
        <f t="shared" si="53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484695.68999999994</v>
      </c>
      <c r="H636" s="104">
        <f>SUM(I472)</f>
        <v>484695.68999999994</v>
      </c>
      <c r="I636" s="140" t="s">
        <v>116</v>
      </c>
      <c r="J636" s="109">
        <f t="shared" si="53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278513.36</v>
      </c>
      <c r="H637" s="164">
        <f>SUM(J468)</f>
        <v>278513.36</v>
      </c>
      <c r="I637" s="165" t="s">
        <v>110</v>
      </c>
      <c r="J637" s="151">
        <f t="shared" si="53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91182</v>
      </c>
      <c r="H638" s="164">
        <f>SUM(J472)</f>
        <v>91182</v>
      </c>
      <c r="I638" s="165" t="s">
        <v>117</v>
      </c>
      <c r="J638" s="151">
        <f t="shared" si="53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303698.26</v>
      </c>
      <c r="H639" s="104">
        <f>SUM(F461)</f>
        <v>303698.26</v>
      </c>
      <c r="I639" s="140" t="s">
        <v>851</v>
      </c>
      <c r="J639" s="109">
        <f t="shared" si="53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110600.9</v>
      </c>
      <c r="H640" s="104">
        <f>SUM(G461)</f>
        <v>110600.9</v>
      </c>
      <c r="I640" s="140" t="s">
        <v>852</v>
      </c>
      <c r="J640" s="109">
        <f t="shared" si="53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3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414299.16000000003</v>
      </c>
      <c r="H642" s="104">
        <f>SUM(I461)</f>
        <v>414299.16000000003</v>
      </c>
      <c r="I642" s="140" t="s">
        <v>854</v>
      </c>
      <c r="J642" s="109">
        <f t="shared" si="53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3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5755.36</v>
      </c>
      <c r="H644" s="104">
        <f>H408</f>
        <v>5755.3600000000006</v>
      </c>
      <c r="I644" s="140" t="s">
        <v>478</v>
      </c>
      <c r="J644" s="109">
        <f t="shared" si="53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272758</v>
      </c>
      <c r="H645" s="104">
        <f>G408</f>
        <v>272758</v>
      </c>
      <c r="I645" s="140" t="s">
        <v>479</v>
      </c>
      <c r="J645" s="109">
        <f t="shared" si="53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278513.36</v>
      </c>
      <c r="H646" s="104">
        <f>L408</f>
        <v>278513.36</v>
      </c>
      <c r="I646" s="140" t="s">
        <v>475</v>
      </c>
      <c r="J646" s="109">
        <f t="shared" si="53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316864.51</v>
      </c>
      <c r="H647" s="104">
        <f>L208+L226+L244</f>
        <v>316864.51</v>
      </c>
      <c r="I647" s="140" t="s">
        <v>394</v>
      </c>
      <c r="J647" s="109">
        <f t="shared" si="53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35416.54</v>
      </c>
      <c r="H648" s="104">
        <f>(J257+J338)-(J255+J336)</f>
        <v>35416.539999999994</v>
      </c>
      <c r="I648" s="140" t="s">
        <v>697</v>
      </c>
      <c r="J648" s="109">
        <f t="shared" si="53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296743.89</v>
      </c>
      <c r="H649" s="104">
        <f>H598</f>
        <v>296743.89</v>
      </c>
      <c r="I649" s="140" t="s">
        <v>386</v>
      </c>
      <c r="J649" s="109">
        <f t="shared" si="53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1386.32</v>
      </c>
      <c r="H650" s="104">
        <f>I598</f>
        <v>1386.32</v>
      </c>
      <c r="I650" s="140" t="s">
        <v>387</v>
      </c>
      <c r="J650" s="109">
        <f t="shared" si="53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18734.3</v>
      </c>
      <c r="H651" s="104">
        <f>J598</f>
        <v>18734.3</v>
      </c>
      <c r="I651" s="140" t="s">
        <v>388</v>
      </c>
      <c r="J651" s="109">
        <f t="shared" si="53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7696.77</v>
      </c>
      <c r="H652" s="104">
        <f>K263+K345</f>
        <v>7696.77</v>
      </c>
      <c r="I652" s="140" t="s">
        <v>395</v>
      </c>
      <c r="J652" s="109">
        <f t="shared" si="53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3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3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272758</v>
      </c>
      <c r="H655" s="104">
        <f>K266+K347</f>
        <v>272758</v>
      </c>
      <c r="I655" s="140" t="s">
        <v>398</v>
      </c>
      <c r="J655" s="109">
        <f t="shared" si="53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3572649.01</v>
      </c>
      <c r="G660" s="19">
        <f>(L229+L309+L359)</f>
        <v>783115.1399999999</v>
      </c>
      <c r="H660" s="19">
        <f>(L247+L328+L360)</f>
        <v>2047659.5700000003</v>
      </c>
      <c r="I660" s="19">
        <f>SUM(F660:H660)</f>
        <v>6403423.7199999997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48476.78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48476.78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296743.89</v>
      </c>
      <c r="G662" s="19">
        <f>(L226+L306)-(J226+J306)</f>
        <v>1386.32</v>
      </c>
      <c r="H662" s="19">
        <f>(L244+L325)-(J244+J325)</f>
        <v>18734.3</v>
      </c>
      <c r="I662" s="19">
        <f>SUM(F662:H662)</f>
        <v>316864.51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66817.460000000006</v>
      </c>
      <c r="G663" s="199">
        <f>SUM(G575:G587)+SUM(I602:I604)+L612</f>
        <v>697954.63</v>
      </c>
      <c r="H663" s="199">
        <f>SUM(H575:H587)+SUM(J602:J604)+L613</f>
        <v>1816788.9200000002</v>
      </c>
      <c r="I663" s="19">
        <f>SUM(F663:H663)</f>
        <v>2581561.0100000002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3160610.88</v>
      </c>
      <c r="G664" s="19">
        <f>G660-SUM(G661:G663)</f>
        <v>83774.189999999944</v>
      </c>
      <c r="H664" s="19">
        <f>H660-SUM(H661:H663)</f>
        <v>212136.35000000009</v>
      </c>
      <c r="I664" s="19">
        <f>I660-SUM(I661:I663)</f>
        <v>3456521.4199999995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212.51</v>
      </c>
      <c r="G665" s="248"/>
      <c r="H665" s="248"/>
      <c r="I665" s="19">
        <f>SUM(F665:H665)</f>
        <v>212.51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14872.76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16265.22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>
        <v>-83774.19</v>
      </c>
      <c r="H669" s="18">
        <v>-212136.35</v>
      </c>
      <c r="I669" s="19">
        <f>SUM(F669:H669)</f>
        <v>-295910.54000000004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14872.76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14872.76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19" sqref="C1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Dunbarton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964920.05</v>
      </c>
      <c r="C9" s="229">
        <f>'DOE25'!G197+'DOE25'!G215+'DOE25'!G233+'DOE25'!G276+'DOE25'!G295+'DOE25'!G314</f>
        <v>442693.27999999997</v>
      </c>
    </row>
    <row r="10" spans="1:3" x14ac:dyDescent="0.2">
      <c r="A10" t="s">
        <v>773</v>
      </c>
      <c r="B10" s="240">
        <f>964920.05-96646.79-44437.38</f>
        <v>823835.88</v>
      </c>
      <c r="C10" s="240">
        <v>418575.82</v>
      </c>
    </row>
    <row r="11" spans="1:3" x14ac:dyDescent="0.2">
      <c r="A11" t="s">
        <v>774</v>
      </c>
      <c r="B11" s="240">
        <v>96646.79</v>
      </c>
      <c r="C11" s="240">
        <v>20718</v>
      </c>
    </row>
    <row r="12" spans="1:3" x14ac:dyDescent="0.2">
      <c r="A12" t="s">
        <v>775</v>
      </c>
      <c r="B12" s="240">
        <v>44437.38</v>
      </c>
      <c r="C12" s="240">
        <v>3399.46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964920.05</v>
      </c>
      <c r="C13" s="231">
        <f>SUM(C10:C12)</f>
        <v>442693.28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378273.52</v>
      </c>
      <c r="C18" s="229">
        <f>'DOE25'!G198+'DOE25'!G216+'DOE25'!G234+'DOE25'!G277+'DOE25'!G296+'DOE25'!G315</f>
        <v>121869.5</v>
      </c>
    </row>
    <row r="19" spans="1:3" x14ac:dyDescent="0.2">
      <c r="A19" t="s">
        <v>773</v>
      </c>
      <c r="B19" s="240">
        <f>81997.53+43652.7</f>
        <v>125650.23</v>
      </c>
      <c r="C19" s="240">
        <v>43197.47</v>
      </c>
    </row>
    <row r="20" spans="1:3" x14ac:dyDescent="0.2">
      <c r="A20" t="s">
        <v>774</v>
      </c>
      <c r="B20" s="240">
        <v>177242.29</v>
      </c>
      <c r="C20" s="240">
        <v>38506.629999999997</v>
      </c>
    </row>
    <row r="21" spans="1:3" x14ac:dyDescent="0.2">
      <c r="A21" t="s">
        <v>775</v>
      </c>
      <c r="B21" s="240">
        <v>75381</v>
      </c>
      <c r="C21" s="240">
        <v>40165.4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378273.52</v>
      </c>
      <c r="C22" s="231">
        <f>SUM(C19:C21)</f>
        <v>121869.5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>
        <v>0</v>
      </c>
      <c r="C28" s="240">
        <v>0</v>
      </c>
    </row>
    <row r="29" spans="1:3" x14ac:dyDescent="0.2">
      <c r="A29" t="s">
        <v>774</v>
      </c>
      <c r="B29" s="240">
        <v>0</v>
      </c>
      <c r="C29" s="240">
        <v>0</v>
      </c>
    </row>
    <row r="30" spans="1:3" x14ac:dyDescent="0.2">
      <c r="A30" t="s">
        <v>775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1000</v>
      </c>
      <c r="C36" s="235">
        <f>'DOE25'!G200+'DOE25'!G218+'DOE25'!G236+'DOE25'!G279+'DOE25'!G298+'DOE25'!G317</f>
        <v>81.180000000000007</v>
      </c>
    </row>
    <row r="37" spans="1:3" x14ac:dyDescent="0.2">
      <c r="A37" t="s">
        <v>773</v>
      </c>
      <c r="B37" s="240">
        <v>1000</v>
      </c>
      <c r="C37" s="240">
        <v>81.180000000000007</v>
      </c>
    </row>
    <row r="38" spans="1:3" x14ac:dyDescent="0.2">
      <c r="A38" t="s">
        <v>774</v>
      </c>
      <c r="B38" s="240">
        <v>0</v>
      </c>
      <c r="C38" s="240">
        <v>0</v>
      </c>
    </row>
    <row r="39" spans="1:3" x14ac:dyDescent="0.2">
      <c r="A39" t="s">
        <v>775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1000</v>
      </c>
      <c r="C40" s="231">
        <f>SUM(C37:C39)</f>
        <v>81.180000000000007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9" sqref="D1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Dunbarton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4767774.99</v>
      </c>
      <c r="D5" s="20">
        <f>SUM('DOE25'!L197:L200)+SUM('DOE25'!L215:L218)+SUM('DOE25'!L233:L236)-F5-G5</f>
        <v>4762878.4000000004</v>
      </c>
      <c r="E5" s="243"/>
      <c r="F5" s="255">
        <f>SUM('DOE25'!J197:J200)+SUM('DOE25'!J215:J218)+SUM('DOE25'!J233:J236)</f>
        <v>4083.09</v>
      </c>
      <c r="G5" s="53">
        <f>SUM('DOE25'!K197:K200)+SUM('DOE25'!K215:K218)+SUM('DOE25'!K233:K236)</f>
        <v>813.5</v>
      </c>
      <c r="H5" s="259"/>
    </row>
    <row r="6" spans="1:9" x14ac:dyDescent="0.2">
      <c r="A6" s="32">
        <v>2100</v>
      </c>
      <c r="B6" t="s">
        <v>795</v>
      </c>
      <c r="C6" s="245">
        <f t="shared" si="0"/>
        <v>375849.52</v>
      </c>
      <c r="D6" s="20">
        <f>'DOE25'!L202+'DOE25'!L220+'DOE25'!L238-F6-G6</f>
        <v>375804.52</v>
      </c>
      <c r="E6" s="243"/>
      <c r="F6" s="255">
        <f>'DOE25'!J202+'DOE25'!J220+'DOE25'!J238</f>
        <v>0</v>
      </c>
      <c r="G6" s="53">
        <f>'DOE25'!K202+'DOE25'!K220+'DOE25'!K238</f>
        <v>45</v>
      </c>
      <c r="H6" s="259"/>
    </row>
    <row r="7" spans="1:9" x14ac:dyDescent="0.2">
      <c r="A7" s="32">
        <v>2200</v>
      </c>
      <c r="B7" t="s">
        <v>828</v>
      </c>
      <c r="C7" s="245">
        <f t="shared" si="0"/>
        <v>140306.47999999998</v>
      </c>
      <c r="D7" s="20">
        <f>'DOE25'!L203+'DOE25'!L221+'DOE25'!L239-F7-G7</f>
        <v>110069.55999999998</v>
      </c>
      <c r="E7" s="243"/>
      <c r="F7" s="255">
        <f>'DOE25'!J203+'DOE25'!J221+'DOE25'!J239</f>
        <v>30236.92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115826.57999999999</v>
      </c>
      <c r="D8" s="243"/>
      <c r="E8" s="20">
        <f>'DOE25'!L204+'DOE25'!L222+'DOE25'!L240-F8-G8-D9-D11</f>
        <v>112710.18</v>
      </c>
      <c r="F8" s="255">
        <f>'DOE25'!J204+'DOE25'!J222+'DOE25'!J240</f>
        <v>0</v>
      </c>
      <c r="G8" s="53">
        <f>'DOE25'!K204+'DOE25'!K222+'DOE25'!K240</f>
        <v>3116.4</v>
      </c>
      <c r="H8" s="259"/>
    </row>
    <row r="9" spans="1:9" x14ac:dyDescent="0.2">
      <c r="A9" s="32">
        <v>2310</v>
      </c>
      <c r="B9" t="s">
        <v>812</v>
      </c>
      <c r="C9" s="245">
        <f t="shared" si="0"/>
        <v>9738.01</v>
      </c>
      <c r="D9" s="244">
        <v>9738.01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11075</v>
      </c>
      <c r="D10" s="243"/>
      <c r="E10" s="244">
        <v>11075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43711.839999999997</v>
      </c>
      <c r="D11" s="244">
        <v>43711.839999999997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219970.23</v>
      </c>
      <c r="D12" s="20">
        <f>'DOE25'!L205+'DOE25'!L223+'DOE25'!L241-F12-G12</f>
        <v>219229.03</v>
      </c>
      <c r="E12" s="243"/>
      <c r="F12" s="255">
        <f>'DOE25'!J205+'DOE25'!J223+'DOE25'!J241</f>
        <v>0</v>
      </c>
      <c r="G12" s="53">
        <f>'DOE25'!K205+'DOE25'!K223+'DOE25'!K241</f>
        <v>741.2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225764.74</v>
      </c>
      <c r="D14" s="20">
        <f>'DOE25'!L207+'DOE25'!L225+'DOE25'!L243-F14-G14</f>
        <v>225764.74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316864.51</v>
      </c>
      <c r="D15" s="20">
        <f>'DOE25'!L208+'DOE25'!L226+'DOE25'!L244-F15-G15</f>
        <v>316864.51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123.99</v>
      </c>
      <c r="D19" s="20">
        <f>'DOE25'!L253-F19-G19</f>
        <v>0</v>
      </c>
      <c r="E19" s="243"/>
      <c r="F19" s="255">
        <f>'DOE25'!J253</f>
        <v>0</v>
      </c>
      <c r="G19" s="53">
        <f>'DOE25'!K253</f>
        <v>123.99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91182</v>
      </c>
      <c r="D22" s="243"/>
      <c r="E22" s="243"/>
      <c r="F22" s="255">
        <f>'DOE25'!L255+'DOE25'!L336</f>
        <v>91182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42269.44999999999</v>
      </c>
      <c r="D29" s="20">
        <f>'DOE25'!L358+'DOE25'!L359+'DOE25'!L360-'DOE25'!I367-F29-G29</f>
        <v>42013.389999999992</v>
      </c>
      <c r="E29" s="243"/>
      <c r="F29" s="255">
        <f>'DOE25'!J358+'DOE25'!J359+'DOE25'!J360</f>
        <v>256.06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111377.32999999999</v>
      </c>
      <c r="D31" s="20">
        <f>'DOE25'!L290+'DOE25'!L309+'DOE25'!L328+'DOE25'!L333+'DOE25'!L334+'DOE25'!L335-F31-G31</f>
        <v>108020.59999999999</v>
      </c>
      <c r="E31" s="243"/>
      <c r="F31" s="255">
        <f>'DOE25'!J290+'DOE25'!J309+'DOE25'!J328+'DOE25'!J333+'DOE25'!J334+'DOE25'!J335</f>
        <v>1096.53</v>
      </c>
      <c r="G31" s="53">
        <f>'DOE25'!K290+'DOE25'!K309+'DOE25'!K328+'DOE25'!K333+'DOE25'!K334+'DOE25'!K335</f>
        <v>2260.2000000000003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6214094.5999999987</v>
      </c>
      <c r="E33" s="246">
        <f>SUM(E5:E31)</f>
        <v>123785.18</v>
      </c>
      <c r="F33" s="246">
        <f>SUM(F5:F31)</f>
        <v>126854.59999999999</v>
      </c>
      <c r="G33" s="246">
        <f>SUM(G5:G31)</f>
        <v>7100.2900000000009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123785.18</v>
      </c>
      <c r="E35" s="249"/>
    </row>
    <row r="36" spans="2:8" ht="12" thickTop="1" x14ac:dyDescent="0.2">
      <c r="B36" t="s">
        <v>809</v>
      </c>
      <c r="D36" s="20">
        <f>D33</f>
        <v>6214094.5999999987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G96" sqref="G9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Dunbarton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1959732.39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414299.16000000003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22115.01</v>
      </c>
      <c r="D11" s="95">
        <f>'DOE25'!G12</f>
        <v>147151.13</v>
      </c>
      <c r="E11" s="95">
        <f>'DOE25'!H12</f>
        <v>212609.64</v>
      </c>
      <c r="F11" s="95">
        <f>'DOE25'!I12</f>
        <v>1305304.31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954050</v>
      </c>
      <c r="D13" s="95">
        <f>'DOE25'!G14</f>
        <v>928.62</v>
      </c>
      <c r="E13" s="95">
        <f>'DOE25'!H14</f>
        <v>23141.57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2015.32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9777.77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2947690.4899999998</v>
      </c>
      <c r="D18" s="41">
        <f>SUM(D8:D17)</f>
        <v>148079.75</v>
      </c>
      <c r="E18" s="41">
        <f>SUM(E8:E17)</f>
        <v>235751.21000000002</v>
      </c>
      <c r="F18" s="41">
        <f>SUM(F8:F17)</f>
        <v>1305304.31</v>
      </c>
      <c r="G18" s="41">
        <f>SUM(G8:G17)</f>
        <v>414299.16000000003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1305304.31</v>
      </c>
      <c r="D21" s="95">
        <f>'DOE25'!G22</f>
        <v>148079.75</v>
      </c>
      <c r="E21" s="95">
        <f>'DOE25'!H22</f>
        <v>233796.03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121915.54</v>
      </c>
      <c r="D23" s="95">
        <f>'DOE25'!G24</f>
        <v>0</v>
      </c>
      <c r="E23" s="95">
        <f>'DOE25'!H24</f>
        <v>1955.18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1911.86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32806.269999999997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1461937.9800000002</v>
      </c>
      <c r="D31" s="41">
        <f>SUM(D21:D30)</f>
        <v>148079.75</v>
      </c>
      <c r="E31" s="41">
        <f>SUM(E21:E30)</f>
        <v>235751.21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11793.09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1305304.31</v>
      </c>
      <c r="G47" s="95">
        <f>'DOE25'!J48</f>
        <v>414299.16000000003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1472959.42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1485752.51</v>
      </c>
      <c r="D50" s="41">
        <f>SUM(D34:D49)</f>
        <v>0</v>
      </c>
      <c r="E50" s="41">
        <f>SUM(E34:E49)</f>
        <v>0</v>
      </c>
      <c r="F50" s="41">
        <f>SUM(F34:F49)</f>
        <v>1305304.31</v>
      </c>
      <c r="G50" s="41">
        <f>SUM(G34:G49)</f>
        <v>414299.16000000003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2947690.49</v>
      </c>
      <c r="D51" s="41">
        <f>D50+D31</f>
        <v>148079.75</v>
      </c>
      <c r="E51" s="41">
        <f>E50+E31</f>
        <v>235751.21</v>
      </c>
      <c r="F51" s="41">
        <f>F50+F31</f>
        <v>1305304.31</v>
      </c>
      <c r="G51" s="41">
        <f>G50+G31</f>
        <v>414299.16000000003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4737712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286.83999999999997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5755.36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48476.78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2250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2536.84</v>
      </c>
      <c r="D62" s="130">
        <f>SUM(D57:D61)</f>
        <v>48476.78</v>
      </c>
      <c r="E62" s="130">
        <f>SUM(E57:E61)</f>
        <v>0</v>
      </c>
      <c r="F62" s="130">
        <f>SUM(F57:F61)</f>
        <v>0</v>
      </c>
      <c r="G62" s="130">
        <f>SUM(G57:G61)</f>
        <v>5755.36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4740248.84</v>
      </c>
      <c r="D63" s="22">
        <f>D56+D62</f>
        <v>48476.78</v>
      </c>
      <c r="E63" s="22">
        <f>E56+E62</f>
        <v>0</v>
      </c>
      <c r="F63" s="22">
        <f>F56+F62</f>
        <v>0</v>
      </c>
      <c r="G63" s="22">
        <f>G56+G62</f>
        <v>5755.36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937096.79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666338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5574.16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1609008.95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78286.62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3070.89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78286.62</v>
      </c>
      <c r="D78" s="130">
        <f>SUM(D72:D77)</f>
        <v>3070.89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1687295.5699999998</v>
      </c>
      <c r="D81" s="130">
        <f>SUM(D79:D80)+D78+D70</f>
        <v>3070.89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19242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86766.56</v>
      </c>
      <c r="D88" s="95">
        <f>SUM('DOE25'!G153:G161)</f>
        <v>16995.05</v>
      </c>
      <c r="E88" s="95">
        <f>SUM('DOE25'!H153:H161)</f>
        <v>92135.329999999987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86766.56</v>
      </c>
      <c r="D91" s="131">
        <f>SUM(D85:D90)</f>
        <v>16995.05</v>
      </c>
      <c r="E91" s="131">
        <f>SUM(E85:E90)</f>
        <v>111377.32999999999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1790000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7696.77</v>
      </c>
      <c r="E96" s="95">
        <f>'DOE25'!H179</f>
        <v>0</v>
      </c>
      <c r="F96" s="95">
        <f>'DOE25'!I179</f>
        <v>0</v>
      </c>
      <c r="G96" s="95">
        <f>'DOE25'!J179</f>
        <v>272758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91182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91182</v>
      </c>
      <c r="D103" s="86">
        <f>SUM(D93:D102)</f>
        <v>7696.77</v>
      </c>
      <c r="E103" s="86">
        <f>SUM(E93:E102)</f>
        <v>0</v>
      </c>
      <c r="F103" s="86">
        <f>SUM(F93:F102)</f>
        <v>1790000</v>
      </c>
      <c r="G103" s="86">
        <f>SUM(G93:G102)</f>
        <v>272758</v>
      </c>
    </row>
    <row r="104" spans="1:7" ht="12.75" thickTop="1" thickBot="1" x14ac:dyDescent="0.25">
      <c r="A104" s="33" t="s">
        <v>759</v>
      </c>
      <c r="C104" s="86">
        <f>C63+C81+C91+C103</f>
        <v>6605492.9699999997</v>
      </c>
      <c r="D104" s="86">
        <f>D63+D81+D91+D103</f>
        <v>76239.490000000005</v>
      </c>
      <c r="E104" s="86">
        <f>E63+E81+E91+E103</f>
        <v>111377.32999999999</v>
      </c>
      <c r="F104" s="86">
        <f>F63+F81+F91+F103</f>
        <v>1790000</v>
      </c>
      <c r="G104" s="86">
        <f>G63+G81+G103</f>
        <v>278513.36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3919761.6000000006</v>
      </c>
      <c r="D109" s="24" t="s">
        <v>286</v>
      </c>
      <c r="E109" s="95">
        <f>('DOE25'!L276)+('DOE25'!L295)+('DOE25'!L314)</f>
        <v>37416.06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835596.21</v>
      </c>
      <c r="D110" s="24" t="s">
        <v>286</v>
      </c>
      <c r="E110" s="95">
        <f>('DOE25'!L277)+('DOE25'!L296)+('DOE25'!L315)</f>
        <v>58146.27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12417.18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123.99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4767898.9800000004</v>
      </c>
      <c r="D115" s="86">
        <f>SUM(D109:D114)</f>
        <v>0</v>
      </c>
      <c r="E115" s="86">
        <f>SUM(E109:E114)</f>
        <v>95562.329999999987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375849.52</v>
      </c>
      <c r="D118" s="24" t="s">
        <v>286</v>
      </c>
      <c r="E118" s="95">
        <f>+('DOE25'!L281)+('DOE25'!L300)+('DOE25'!L319)</f>
        <v>1096.53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140306.47999999998</v>
      </c>
      <c r="D119" s="24" t="s">
        <v>286</v>
      </c>
      <c r="E119" s="95">
        <f>+('DOE25'!L282)+('DOE25'!L301)+('DOE25'!L320)</f>
        <v>14718.470000000001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169276.43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219970.23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225764.74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316864.51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76239.489999999991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1448031.91</v>
      </c>
      <c r="D128" s="86">
        <f>SUM(D118:D127)</f>
        <v>76239.489999999991</v>
      </c>
      <c r="E128" s="86">
        <f>SUM(E118:E127)</f>
        <v>15815.000000000002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91182</v>
      </c>
      <c r="D130" s="24" t="s">
        <v>286</v>
      </c>
      <c r="E130" s="129">
        <f>'DOE25'!L336</f>
        <v>0</v>
      </c>
      <c r="F130" s="129">
        <f>SUM('DOE25'!L374:'DOE25'!L380)</f>
        <v>484695.68999999994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91182</v>
      </c>
    </row>
    <row r="135" spans="1:7" x14ac:dyDescent="0.2">
      <c r="A135" t="s">
        <v>233</v>
      </c>
      <c r="B135" s="32" t="s">
        <v>234</v>
      </c>
      <c r="C135" s="95">
        <f>'DOE25'!L263</f>
        <v>7696.77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278513.36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-5755.359999999986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371636.77</v>
      </c>
      <c r="D144" s="141">
        <f>SUM(D130:D143)</f>
        <v>0</v>
      </c>
      <c r="E144" s="141">
        <f>SUM(E130:E143)</f>
        <v>0</v>
      </c>
      <c r="F144" s="141">
        <f>SUM(F130:F143)</f>
        <v>484695.68999999994</v>
      </c>
      <c r="G144" s="141">
        <f>SUM(G130:G143)</f>
        <v>91182</v>
      </c>
    </row>
    <row r="145" spans="1:9" ht="12.75" thickTop="1" thickBot="1" x14ac:dyDescent="0.25">
      <c r="A145" s="33" t="s">
        <v>244</v>
      </c>
      <c r="C145" s="86">
        <f>(C115+C128+C144)</f>
        <v>6587567.6600000001</v>
      </c>
      <c r="D145" s="86">
        <f>(D115+D128+D144)</f>
        <v>76239.489999999991</v>
      </c>
      <c r="E145" s="86">
        <f>(E115+E128+E144)</f>
        <v>111377.32999999999</v>
      </c>
      <c r="F145" s="86">
        <f>(F115+F128+F144)</f>
        <v>484695.68999999994</v>
      </c>
      <c r="G145" s="86">
        <f>(G115+G128+G144)</f>
        <v>91182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Dunbarton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14873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14873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3957178</v>
      </c>
      <c r="D10" s="182">
        <f>ROUND((C10/$C$28)*100,1)</f>
        <v>62.3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893742</v>
      </c>
      <c r="D11" s="182">
        <f>ROUND((C11/$C$28)*100,1)</f>
        <v>14.1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12417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376946</v>
      </c>
      <c r="D15" s="182">
        <f t="shared" ref="D15:D27" si="0">ROUND((C15/$C$28)*100,1)</f>
        <v>5.9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155025</v>
      </c>
      <c r="D16" s="182">
        <f t="shared" si="0"/>
        <v>2.4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169276</v>
      </c>
      <c r="D17" s="182">
        <f t="shared" si="0"/>
        <v>2.7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219970</v>
      </c>
      <c r="D18" s="182">
        <f t="shared" si="0"/>
        <v>3.5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225765</v>
      </c>
      <c r="D20" s="182">
        <f t="shared" si="0"/>
        <v>3.6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316865</v>
      </c>
      <c r="D21" s="182">
        <f t="shared" si="0"/>
        <v>5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124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27762.22</v>
      </c>
      <c r="D27" s="182">
        <f t="shared" si="0"/>
        <v>0.4</v>
      </c>
    </row>
    <row r="28" spans="1:4" x14ac:dyDescent="0.2">
      <c r="B28" s="187" t="s">
        <v>717</v>
      </c>
      <c r="C28" s="180">
        <f>SUM(C10:C27)</f>
        <v>6355070.2199999997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575878</v>
      </c>
    </row>
    <row r="30" spans="1:4" x14ac:dyDescent="0.2">
      <c r="B30" s="187" t="s">
        <v>723</v>
      </c>
      <c r="C30" s="180">
        <f>SUM(C28:C29)</f>
        <v>6930948.2199999997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4737712</v>
      </c>
      <c r="D35" s="182">
        <f t="shared" ref="D35:D40" si="1">ROUND((C35/$C$41)*100,1)</f>
        <v>69.099999999999994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214267.20000000019</v>
      </c>
      <c r="D36" s="182">
        <f t="shared" si="1"/>
        <v>3.1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1603435</v>
      </c>
      <c r="D37" s="182">
        <f t="shared" si="1"/>
        <v>23.4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86932</v>
      </c>
      <c r="D38" s="182">
        <f t="shared" si="1"/>
        <v>1.3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215139</v>
      </c>
      <c r="D39" s="182">
        <f t="shared" si="1"/>
        <v>3.1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6857485.2000000002</v>
      </c>
      <c r="D41" s="184">
        <f>SUM(D35:D40)</f>
        <v>99.999999999999986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1584025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B6" sqref="B6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Dunbarton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 t="s">
        <v>913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3</v>
      </c>
      <c r="B5" s="219">
        <v>32</v>
      </c>
      <c r="C5" s="285" t="s">
        <v>914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2018-08-20T11:49:14Z</cp:lastPrinted>
  <dcterms:created xsi:type="dcterms:W3CDTF">1997-12-04T19:04:30Z</dcterms:created>
  <dcterms:modified xsi:type="dcterms:W3CDTF">2018-11-13T19:36:23Z</dcterms:modified>
</cp:coreProperties>
</file>