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2240" windowHeight="52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2" l="1"/>
  <c r="J604" i="1" l="1"/>
  <c r="I604" i="1"/>
  <c r="H604" i="1"/>
  <c r="G468" i="1"/>
  <c r="F110" i="1"/>
  <c r="I243" i="1"/>
  <c r="H243" i="1"/>
  <c r="K240" i="1"/>
  <c r="J239" i="1"/>
  <c r="H239" i="1"/>
  <c r="G239" i="1"/>
  <c r="H238" i="1"/>
  <c r="J236" i="1"/>
  <c r="I236" i="1"/>
  <c r="H236" i="1"/>
  <c r="H234" i="1"/>
  <c r="J233" i="1"/>
  <c r="H233" i="1"/>
  <c r="F233" i="1"/>
  <c r="I225" i="1"/>
  <c r="H225" i="1"/>
  <c r="H223" i="1"/>
  <c r="I221" i="1"/>
  <c r="H220" i="1"/>
  <c r="J218" i="1"/>
  <c r="I218" i="1"/>
  <c r="H218" i="1"/>
  <c r="I215" i="1"/>
  <c r="I207" i="1"/>
  <c r="H207" i="1"/>
  <c r="H204" i="1"/>
  <c r="G204" i="1"/>
  <c r="J203" i="1"/>
  <c r="F12" i="1"/>
  <c r="J360" i="1" l="1"/>
  <c r="J359" i="1"/>
  <c r="G465" i="1"/>
  <c r="H367" i="1"/>
  <c r="H368" i="1"/>
  <c r="G368" i="1"/>
  <c r="F367" i="1"/>
  <c r="I360" i="1"/>
  <c r="I359" i="1"/>
  <c r="I358" i="1"/>
  <c r="H358" i="1"/>
  <c r="G97" i="1"/>
  <c r="F468" i="1"/>
  <c r="F22" i="1"/>
  <c r="F9" i="1" l="1"/>
  <c r="H582" i="1" l="1"/>
  <c r="J592" i="1"/>
  <c r="I592" i="1"/>
  <c r="H592" i="1"/>
  <c r="I591" i="1"/>
  <c r="J591" i="1"/>
  <c r="H542" i="1"/>
  <c r="H543" i="1"/>
  <c r="H541" i="1"/>
  <c r="H244" i="1"/>
  <c r="H226" i="1"/>
  <c r="H208" i="1"/>
  <c r="H465" i="1" l="1"/>
  <c r="H468" i="1"/>
  <c r="J468" i="1"/>
  <c r="D11" i="13"/>
  <c r="C37" i="12"/>
  <c r="C38" i="12"/>
  <c r="C39" i="12"/>
  <c r="C19" i="12"/>
  <c r="C20" i="12"/>
  <c r="C10" i="12"/>
  <c r="C11" i="12"/>
  <c r="B10" i="12"/>
  <c r="B21" i="12"/>
  <c r="B19" i="12"/>
  <c r="B39" i="12"/>
  <c r="B37" i="12"/>
  <c r="B38" i="12"/>
  <c r="B20" i="12"/>
  <c r="B11" i="12"/>
  <c r="G611" i="1"/>
  <c r="F611" i="1"/>
  <c r="I564" i="1"/>
  <c r="I563" i="1"/>
  <c r="I562" i="1"/>
  <c r="G564" i="1"/>
  <c r="G563" i="1"/>
  <c r="G562" i="1"/>
  <c r="F564" i="1"/>
  <c r="F563" i="1"/>
  <c r="F562" i="1"/>
  <c r="H591" i="1"/>
  <c r="H538" i="1"/>
  <c r="J528" i="1"/>
  <c r="J527" i="1"/>
  <c r="J526" i="1"/>
  <c r="I528" i="1"/>
  <c r="I527" i="1"/>
  <c r="I526" i="1"/>
  <c r="H528" i="1"/>
  <c r="H527" i="1"/>
  <c r="H526" i="1"/>
  <c r="G528" i="1"/>
  <c r="G527" i="1"/>
  <c r="G526" i="1"/>
  <c r="F528" i="1"/>
  <c r="F527" i="1"/>
  <c r="F526" i="1"/>
  <c r="F502" i="1" l="1"/>
  <c r="H397" i="1"/>
  <c r="G367" i="1"/>
  <c r="F359" i="1"/>
  <c r="F360" i="1"/>
  <c r="K360" i="1"/>
  <c r="H360" i="1"/>
  <c r="G360" i="1"/>
  <c r="K359" i="1"/>
  <c r="H359" i="1"/>
  <c r="G359" i="1"/>
  <c r="K358" i="1"/>
  <c r="J358" i="1"/>
  <c r="G358" i="1"/>
  <c r="F358" i="1"/>
  <c r="I324" i="1"/>
  <c r="I320" i="1"/>
  <c r="H320" i="1"/>
  <c r="G320" i="1"/>
  <c r="F320" i="1"/>
  <c r="I319" i="1"/>
  <c r="G319" i="1"/>
  <c r="F319" i="1"/>
  <c r="J314" i="1"/>
  <c r="I314" i="1"/>
  <c r="G321" i="1"/>
  <c r="F321" i="1"/>
  <c r="F314" i="1"/>
  <c r="I305" i="1"/>
  <c r="I301" i="1"/>
  <c r="H301" i="1"/>
  <c r="G301" i="1"/>
  <c r="F301" i="1"/>
  <c r="I300" i="1"/>
  <c r="J295" i="1"/>
  <c r="I295" i="1"/>
  <c r="G302" i="1"/>
  <c r="F302" i="1"/>
  <c r="G300" i="1"/>
  <c r="F300" i="1"/>
  <c r="G296" i="1"/>
  <c r="F296" i="1"/>
  <c r="H295" i="1"/>
  <c r="F295" i="1"/>
  <c r="I286" i="1"/>
  <c r="H282" i="1"/>
  <c r="G282" i="1"/>
  <c r="F282" i="1"/>
  <c r="I281" i="1"/>
  <c r="J276" i="1"/>
  <c r="G283" i="1"/>
  <c r="F283" i="1"/>
  <c r="I282" i="1"/>
  <c r="G281" i="1"/>
  <c r="F281" i="1"/>
  <c r="G277" i="1"/>
  <c r="F277" i="1"/>
  <c r="I276" i="1"/>
  <c r="G276" i="1"/>
  <c r="F276" i="1"/>
  <c r="H287" i="1"/>
  <c r="F215" i="1" l="1"/>
  <c r="H240" i="1"/>
  <c r="K222" i="1"/>
  <c r="G233" i="1"/>
  <c r="J243" i="1"/>
  <c r="G243" i="1"/>
  <c r="F243" i="1"/>
  <c r="I240" i="1"/>
  <c r="G240" i="1"/>
  <c r="F240" i="1"/>
  <c r="I239" i="1"/>
  <c r="F239" i="1"/>
  <c r="K239" i="1"/>
  <c r="J238" i="1"/>
  <c r="I238" i="1"/>
  <c r="G238" i="1"/>
  <c r="F238" i="1"/>
  <c r="G236" i="1"/>
  <c r="I234" i="1"/>
  <c r="G234" i="1"/>
  <c r="F234" i="1"/>
  <c r="I233" i="1"/>
  <c r="G215" i="1" l="1"/>
  <c r="J225" i="1"/>
  <c r="G225" i="1"/>
  <c r="F225" i="1"/>
  <c r="I222" i="1"/>
  <c r="H222" i="1"/>
  <c r="G222" i="1"/>
  <c r="F222" i="1"/>
  <c r="K221" i="1"/>
  <c r="J221" i="1"/>
  <c r="H221" i="1"/>
  <c r="G221" i="1"/>
  <c r="F221" i="1"/>
  <c r="J220" i="1"/>
  <c r="I220" i="1"/>
  <c r="G220" i="1"/>
  <c r="F220" i="1"/>
  <c r="G218" i="1"/>
  <c r="I216" i="1"/>
  <c r="G216" i="1"/>
  <c r="F216" i="1"/>
  <c r="H216" i="1"/>
  <c r="H215" i="1"/>
  <c r="G197" i="1"/>
  <c r="F198" i="1"/>
  <c r="F197" i="1"/>
  <c r="J207" i="1"/>
  <c r="G207" i="1"/>
  <c r="F207" i="1"/>
  <c r="K204" i="1"/>
  <c r="I204" i="1"/>
  <c r="F204" i="1"/>
  <c r="I203" i="1"/>
  <c r="H203" i="1"/>
  <c r="G203" i="1"/>
  <c r="F203" i="1"/>
  <c r="K203" i="1"/>
  <c r="J202" i="1"/>
  <c r="I202" i="1"/>
  <c r="H202" i="1"/>
  <c r="G202" i="1"/>
  <c r="F202" i="1"/>
  <c r="G200" i="1"/>
  <c r="I198" i="1"/>
  <c r="G198" i="1"/>
  <c r="H198" i="1"/>
  <c r="I197" i="1"/>
  <c r="F236" i="1" l="1"/>
  <c r="F218" i="1"/>
  <c r="K241" i="1"/>
  <c r="H241" i="1"/>
  <c r="G241" i="1"/>
  <c r="F241" i="1"/>
  <c r="K236" i="1"/>
  <c r="K223" i="1"/>
  <c r="I223" i="1"/>
  <c r="G223" i="1"/>
  <c r="F223" i="1"/>
  <c r="J215" i="1"/>
  <c r="J205" i="1"/>
  <c r="I205" i="1"/>
  <c r="H205" i="1"/>
  <c r="G205" i="1"/>
  <c r="F205" i="1"/>
  <c r="F200" i="1"/>
  <c r="J198" i="1"/>
  <c r="J197" i="1"/>
  <c r="H155" i="1"/>
  <c r="H154" i="1"/>
  <c r="G158" i="1" l="1"/>
  <c r="G132" i="1"/>
  <c r="F120" i="1"/>
  <c r="F63" i="1"/>
  <c r="H22" i="1"/>
  <c r="H12" i="1"/>
  <c r="G29" i="1"/>
  <c r="F29" i="1"/>
  <c r="F2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25" i="10" s="1"/>
  <c r="L341" i="1"/>
  <c r="L342" i="1"/>
  <c r="L255" i="1"/>
  <c r="F22" i="13" s="1"/>
  <c r="C22" i="13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56" i="2" s="1"/>
  <c r="F79" i="1"/>
  <c r="C57" i="2" s="1"/>
  <c r="F94" i="1"/>
  <c r="C58" i="2" s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C85" i="2" s="1"/>
  <c r="F162" i="1"/>
  <c r="F169" i="1" s="1"/>
  <c r="G147" i="1"/>
  <c r="D85" i="2" s="1"/>
  <c r="G162" i="1"/>
  <c r="H147" i="1"/>
  <c r="E85" i="2" s="1"/>
  <c r="H162" i="1"/>
  <c r="H169" i="1" s="1"/>
  <c r="I147" i="1"/>
  <c r="F85" i="2" s="1"/>
  <c r="I162" i="1"/>
  <c r="L250" i="1"/>
  <c r="L332" i="1"/>
  <c r="E113" i="2" s="1"/>
  <c r="L254" i="1"/>
  <c r="L268" i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1" i="2"/>
  <c r="C113" i="2"/>
  <c r="D115" i="2"/>
  <c r="F115" i="2"/>
  <c r="G115" i="2"/>
  <c r="E120" i="2"/>
  <c r="E121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G452" i="1"/>
  <c r="G461" i="1" s="1"/>
  <c r="H640" i="1" s="1"/>
  <c r="H452" i="1"/>
  <c r="F460" i="1"/>
  <c r="G460" i="1"/>
  <c r="H460" i="1"/>
  <c r="F470" i="1"/>
  <c r="G470" i="1"/>
  <c r="H470" i="1"/>
  <c r="H476" i="1" s="1"/>
  <c r="H624" i="1" s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3" i="1"/>
  <c r="H643" i="1"/>
  <c r="G644" i="1"/>
  <c r="G649" i="1"/>
  <c r="G652" i="1"/>
  <c r="H652" i="1"/>
  <c r="G653" i="1"/>
  <c r="H653" i="1"/>
  <c r="G654" i="1"/>
  <c r="H654" i="1"/>
  <c r="H655" i="1"/>
  <c r="D18" i="13"/>
  <c r="C18" i="13" s="1"/>
  <c r="L427" i="1"/>
  <c r="J643" i="1"/>
  <c r="C29" i="10"/>
  <c r="J655" i="1"/>
  <c r="G36" i="2"/>
  <c r="G476" i="1" l="1"/>
  <c r="H623" i="1" s="1"/>
  <c r="J623" i="1"/>
  <c r="J649" i="1"/>
  <c r="H647" i="1"/>
  <c r="F662" i="1"/>
  <c r="J552" i="1"/>
  <c r="L539" i="1"/>
  <c r="I552" i="1"/>
  <c r="K545" i="1"/>
  <c r="K550" i="1"/>
  <c r="G545" i="1"/>
  <c r="G552" i="1"/>
  <c r="I545" i="1"/>
  <c r="F18" i="2"/>
  <c r="C26" i="10"/>
  <c r="G625" i="1"/>
  <c r="K598" i="1"/>
  <c r="G647" i="1" s="1"/>
  <c r="J647" i="1" s="1"/>
  <c r="L560" i="1"/>
  <c r="L529" i="1"/>
  <c r="H545" i="1"/>
  <c r="G161" i="2"/>
  <c r="L570" i="1"/>
  <c r="F461" i="1"/>
  <c r="H639" i="1" s="1"/>
  <c r="J639" i="1" s="1"/>
  <c r="D50" i="2"/>
  <c r="D51" i="2" s="1"/>
  <c r="D17" i="13"/>
  <c r="C17" i="13" s="1"/>
  <c r="G645" i="1"/>
  <c r="H461" i="1"/>
  <c r="H641" i="1" s="1"/>
  <c r="J641" i="1" s="1"/>
  <c r="L256" i="1"/>
  <c r="F192" i="1"/>
  <c r="E78" i="2"/>
  <c r="E81" i="2" s="1"/>
  <c r="F78" i="2"/>
  <c r="F81" i="2" s="1"/>
  <c r="C132" i="2"/>
  <c r="H662" i="1"/>
  <c r="C125" i="2"/>
  <c r="C122" i="2"/>
  <c r="G164" i="2"/>
  <c r="H408" i="1"/>
  <c r="H644" i="1" s="1"/>
  <c r="J644" i="1"/>
  <c r="F661" i="1"/>
  <c r="H661" i="1"/>
  <c r="G661" i="1"/>
  <c r="D29" i="13"/>
  <c r="C29" i="13" s="1"/>
  <c r="D127" i="2"/>
  <c r="D128" i="2" s="1"/>
  <c r="D145" i="2" s="1"/>
  <c r="E123" i="2"/>
  <c r="E118" i="2"/>
  <c r="E110" i="2"/>
  <c r="H338" i="1"/>
  <c r="H352" i="1" s="1"/>
  <c r="G338" i="1"/>
  <c r="G352" i="1" s="1"/>
  <c r="E119" i="2"/>
  <c r="F338" i="1"/>
  <c r="F352" i="1" s="1"/>
  <c r="J338" i="1"/>
  <c r="J352" i="1" s="1"/>
  <c r="E115" i="2"/>
  <c r="L270" i="1"/>
  <c r="C32" i="10"/>
  <c r="G651" i="1"/>
  <c r="J651" i="1" s="1"/>
  <c r="C120" i="2"/>
  <c r="D14" i="13"/>
  <c r="C14" i="13" s="1"/>
  <c r="C124" i="2"/>
  <c r="C111" i="2"/>
  <c r="C121" i="2"/>
  <c r="J257" i="1"/>
  <c r="J271" i="1" s="1"/>
  <c r="H257" i="1"/>
  <c r="H271" i="1" s="1"/>
  <c r="C110" i="2"/>
  <c r="C109" i="2"/>
  <c r="L229" i="1"/>
  <c r="C17" i="10"/>
  <c r="D12" i="13"/>
  <c r="C12" i="13" s="1"/>
  <c r="C18" i="10"/>
  <c r="E8" i="13"/>
  <c r="C8" i="13" s="1"/>
  <c r="C118" i="2"/>
  <c r="F257" i="1"/>
  <c r="F271" i="1" s="1"/>
  <c r="A40" i="12"/>
  <c r="C12" i="10"/>
  <c r="C10" i="10"/>
  <c r="D5" i="13"/>
  <c r="C5" i="13" s="1"/>
  <c r="A13" i="12"/>
  <c r="H112" i="1"/>
  <c r="H193" i="1" s="1"/>
  <c r="G629" i="1" s="1"/>
  <c r="J629" i="1" s="1"/>
  <c r="D91" i="2"/>
  <c r="D81" i="2"/>
  <c r="D62" i="2"/>
  <c r="D63" i="2" s="1"/>
  <c r="C91" i="2"/>
  <c r="C70" i="2"/>
  <c r="J625" i="1"/>
  <c r="H52" i="1"/>
  <c r="H619" i="1" s="1"/>
  <c r="J619" i="1" s="1"/>
  <c r="J571" i="1"/>
  <c r="K257" i="1"/>
  <c r="K271" i="1" s="1"/>
  <c r="H192" i="1"/>
  <c r="G156" i="2"/>
  <c r="J640" i="1"/>
  <c r="F571" i="1"/>
  <c r="G257" i="1"/>
  <c r="G271" i="1" s="1"/>
  <c r="J617" i="1"/>
  <c r="C21" i="10"/>
  <c r="C35" i="10"/>
  <c r="L290" i="1"/>
  <c r="J476" i="1"/>
  <c r="H626" i="1" s="1"/>
  <c r="F476" i="1"/>
  <c r="H622" i="1" s="1"/>
  <c r="J622" i="1" s="1"/>
  <c r="L433" i="1"/>
  <c r="L434" i="1" s="1"/>
  <c r="G638" i="1" s="1"/>
  <c r="J638" i="1" s="1"/>
  <c r="D31" i="2"/>
  <c r="C18" i="2"/>
  <c r="D18" i="2"/>
  <c r="E131" i="2"/>
  <c r="E144" i="2" s="1"/>
  <c r="H552" i="1"/>
  <c r="K549" i="1"/>
  <c r="I169" i="1"/>
  <c r="L351" i="1"/>
  <c r="G650" i="1"/>
  <c r="J650" i="1" s="1"/>
  <c r="L614" i="1"/>
  <c r="K605" i="1"/>
  <c r="G648" i="1" s="1"/>
  <c r="H571" i="1"/>
  <c r="L565" i="1"/>
  <c r="L571" i="1" s="1"/>
  <c r="I571" i="1"/>
  <c r="J545" i="1"/>
  <c r="K338" i="1"/>
  <c r="K352" i="1" s="1"/>
  <c r="E62" i="2"/>
  <c r="E63" i="2" s="1"/>
  <c r="L401" i="1"/>
  <c r="C139" i="2" s="1"/>
  <c r="L328" i="1"/>
  <c r="L309" i="1"/>
  <c r="C11" i="10"/>
  <c r="I369" i="1"/>
  <c r="H634" i="1" s="1"/>
  <c r="J634" i="1" s="1"/>
  <c r="C20" i="10"/>
  <c r="C13" i="10"/>
  <c r="J645" i="1"/>
  <c r="K551" i="1"/>
  <c r="E16" i="13"/>
  <c r="F552" i="1"/>
  <c r="H25" i="13"/>
  <c r="F112" i="1"/>
  <c r="G624" i="1"/>
  <c r="J624" i="1" s="1"/>
  <c r="L534" i="1"/>
  <c r="K500" i="1"/>
  <c r="I460" i="1"/>
  <c r="I452" i="1"/>
  <c r="I446" i="1"/>
  <c r="G642" i="1" s="1"/>
  <c r="C123" i="2"/>
  <c r="C112" i="2"/>
  <c r="C78" i="2"/>
  <c r="L211" i="1"/>
  <c r="L362" i="1"/>
  <c r="C27" i="10" s="1"/>
  <c r="G81" i="2"/>
  <c r="C62" i="2"/>
  <c r="C63" i="2" s="1"/>
  <c r="G662" i="1"/>
  <c r="I662" i="1" s="1"/>
  <c r="C19" i="10"/>
  <c r="C15" i="10"/>
  <c r="G112" i="1"/>
  <c r="K503" i="1"/>
  <c r="L382" i="1"/>
  <c r="G636" i="1" s="1"/>
  <c r="J636" i="1" s="1"/>
  <c r="E13" i="13"/>
  <c r="C13" i="13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L407" i="1"/>
  <c r="C140" i="2" s="1"/>
  <c r="C141" i="2" s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G140" i="1"/>
  <c r="F140" i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J652" i="1"/>
  <c r="G571" i="1"/>
  <c r="I434" i="1"/>
  <c r="G434" i="1"/>
  <c r="I663" i="1"/>
  <c r="L545" i="1" l="1"/>
  <c r="C144" i="2"/>
  <c r="C36" i="10"/>
  <c r="C39" i="10"/>
  <c r="K552" i="1"/>
  <c r="H646" i="1"/>
  <c r="I661" i="1"/>
  <c r="G635" i="1"/>
  <c r="J635" i="1" s="1"/>
  <c r="E128" i="2"/>
  <c r="E145" i="2" s="1"/>
  <c r="L338" i="1"/>
  <c r="L352" i="1" s="1"/>
  <c r="G633" i="1" s="1"/>
  <c r="J633" i="1" s="1"/>
  <c r="G660" i="1"/>
  <c r="G664" i="1" s="1"/>
  <c r="H648" i="1"/>
  <c r="J648" i="1" s="1"/>
  <c r="C115" i="2"/>
  <c r="F660" i="1"/>
  <c r="F664" i="1" s="1"/>
  <c r="F672" i="1" s="1"/>
  <c r="C4" i="10" s="1"/>
  <c r="D104" i="2"/>
  <c r="C81" i="2"/>
  <c r="C104" i="2" s="1"/>
  <c r="F193" i="1"/>
  <c r="G627" i="1" s="1"/>
  <c r="J627" i="1" s="1"/>
  <c r="E33" i="13"/>
  <c r="D35" i="13" s="1"/>
  <c r="C16" i="13"/>
  <c r="D31" i="13"/>
  <c r="C31" i="13" s="1"/>
  <c r="C25" i="13"/>
  <c r="H33" i="13"/>
  <c r="G104" i="2"/>
  <c r="I461" i="1"/>
  <c r="H642" i="1" s="1"/>
  <c r="J64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F667" i="1" l="1"/>
  <c r="G672" i="1"/>
  <c r="C5" i="10" s="1"/>
  <c r="G667" i="1"/>
  <c r="C41" i="10"/>
  <c r="D38" i="10" s="1"/>
  <c r="D37" i="10" l="1"/>
  <c r="D36" i="10"/>
  <c r="D35" i="10"/>
  <c r="D40" i="10"/>
  <c r="D39" i="10"/>
  <c r="D41" i="10" l="1"/>
  <c r="L239" i="1"/>
  <c r="C119" i="2" s="1"/>
  <c r="C128" i="2" s="1"/>
  <c r="C145" i="2" s="1"/>
  <c r="I247" i="1"/>
  <c r="I257" i="1" s="1"/>
  <c r="I271" i="1" s="1"/>
  <c r="L247" i="1" l="1"/>
  <c r="L257" i="1" s="1"/>
  <c r="L271" i="1" s="1"/>
  <c r="G632" i="1" s="1"/>
  <c r="J632" i="1" s="1"/>
  <c r="D7" i="13"/>
  <c r="C7" i="13" s="1"/>
  <c r="C16" i="10"/>
  <c r="H660" i="1" l="1"/>
  <c r="H656" i="1"/>
  <c r="D33" i="13"/>
  <c r="D36" i="13" s="1"/>
  <c r="C28" i="10"/>
  <c r="D16" i="10" s="1"/>
  <c r="I660" i="1"/>
  <c r="I664" i="1" s="1"/>
  <c r="H664" i="1"/>
  <c r="I667" i="1" l="1"/>
  <c r="I672" i="1"/>
  <c r="C7" i="10" s="1"/>
  <c r="H667" i="1"/>
  <c r="H672" i="1"/>
  <c r="C6" i="10" s="1"/>
  <c r="D13" i="10"/>
  <c r="D17" i="10"/>
  <c r="D26" i="10"/>
  <c r="D18" i="10"/>
  <c r="D22" i="10"/>
  <c r="C30" i="10"/>
  <c r="D12" i="10"/>
  <c r="D25" i="10"/>
  <c r="D24" i="10"/>
  <c r="D27" i="10"/>
  <c r="D19" i="10"/>
  <c r="D23" i="10"/>
  <c r="D15" i="10"/>
  <c r="D11" i="10"/>
  <c r="D10" i="10"/>
  <c r="D21" i="10"/>
  <c r="D20" i="10"/>
  <c r="D28" i="10" l="1"/>
  <c r="B22" i="12"/>
  <c r="A22" i="12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<sst xmlns="http://schemas.openxmlformats.org/spreadsheetml/2006/main" count="3959" uniqueCount="915">
  <si>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</si>
  <si>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</si>
  <si>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</si>
  <si>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</si>
  <si>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</si>
  <si>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</si>
  <si>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</si>
  <si>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</si>
  <si>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</si>
  <si>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</si>
  <si>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</si>
  <si>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</si>
  <si>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</si>
  <si>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</si>
  <si>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</si>
  <si>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</si>
  <si>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</si>
  <si>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</si>
  <si>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</si>
  <si>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</si>
  <si>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</si>
  <si>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</si>
  <si>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</si>
  <si>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</si>
  <si>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</si>
  <si>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</si>
  <si>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</si>
  <si>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</si>
  <si>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</si>
  <si>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</si>
  <si>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</si>
  <si>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</si>
  <si>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</si>
  <si>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</si>
  <si>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</si>
  <si>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</si>
  <si>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</si>
  <si>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</si>
  <si>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</si>
  <si>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</si>
  <si>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</si>
  <si>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</si>
  <si>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</si>
  <si>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</si>
  <si>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</si>
  <si>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</si>
  <si>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</si>
  <si>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</si>
  <si>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</si>
  <si>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</si>
  <si>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</si>
  <si>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</si>
  <si>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</si>
  <si>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</si>
  <si>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</si>
  <si>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</si>
  <si>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</si>
  <si>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</si>
  <si>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</si>
  <si>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</si>
  <si>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</si>
  <si>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</si>
  <si>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</si>
  <si>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</si>
  <si>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</si>
  <si>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</si>
  <si>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</si>
  <si>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</si>
  <si>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</si>
  <si>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</si>
  <si>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</si>
  <si>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</si>
  <si>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</si>
  <si>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</si>
  <si>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</si>
  <si>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</si>
  <si>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</si>
  <si>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</si>
  <si>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</si>
  <si>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</si>
  <si>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</si>
  <si>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</si>
  <si>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</si>
  <si>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</si>
  <si>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</si>
  <si>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</si>
  <si>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</si>
  <si>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</si>
  <si>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</si>
  <si>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</si>
  <si>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</si>
  <si>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</si>
  <si>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</si>
  <si>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</si>
  <si>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</si>
  <si>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</si>
  <si>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</si>
  <si>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</si>
  <si>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</si>
  <si>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</si>
  <si>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</si>
  <si>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</si>
  <si>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</si>
  <si>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</si>
  <si>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</si>
  <si>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</si>
  <si>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</si>
  <si>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</si>
  <si>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</si>
  <si>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</si>
  <si>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</si>
  <si>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</si>
  <si>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</si>
  <si>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</si>
  <si>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</si>
  <si>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</si>
  <si>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</si>
  <si>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</si>
  <si>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</si>
  <si>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</si>
  <si>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</si>
  <si>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</si>
  <si>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</si>
  <si>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</si>
  <si>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</si>
  <si>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</si>
  <si>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</si>
  <si>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</si>
  <si>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</si>
  <si>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</si>
  <si>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</si>
  <si>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</si>
  <si>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</si>
  <si>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</si>
  <si>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</si>
  <si>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</si>
  <si>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</si>
  <si>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</si>
  <si>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</si>
  <si>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</si>
  <si>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</si>
  <si>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</si>
  <si>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</si>
  <si>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</si>
  <si>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</si>
  <si>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</si>
  <si>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</si>
  <si>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</si>
  <si>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</si>
  <si>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</si>
  <si>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</si>
  <si>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</si>
  <si>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</si>
  <si>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</si>
  <si>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</si>
  <si>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</si>
  <si>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</si>
  <si>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</si>
  <si>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</si>
  <si>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</si>
  <si>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</si>
  <si>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</si>
  <si>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</si>
  <si>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</si>
  <si>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</si>
  <si>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</si>
  <si>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</si>
  <si>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</si>
  <si>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</si>
  <si>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</si>
  <si>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</si>
  <si>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</si>
  <si>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</si>
  <si>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</si>
  <si>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</si>
  <si>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</si>
  <si>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</si>
  <si>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</si>
  <si>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</si>
  <si>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</si>
  <si>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</si>
  <si>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</si>
  <si>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</si>
  <si>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</si>
  <si>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</si>
  <si>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</si>
  <si>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</si>
  <si>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</si>
  <si>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</si>
  <si>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</si>
  <si>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</si>
  <si>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</si>
  <si>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</si>
  <si>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</si>
  <si>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</si>
  <si>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</si>
  <si>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</si>
  <si>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</si>
  <si>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</si>
  <si>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</si>
  <si>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</si>
  <si>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</si>
  <si>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</si>
  <si>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</si>
  <si>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</si>
  <si>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</si>
  <si>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</si>
  <si>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</si>
  <si>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</si>
  <si>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</si>
  <si>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</si>
  <si>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</si>
  <si>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</si>
  <si>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</si>
  <si>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</si>
  <si>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</si>
  <si>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</si>
  <si>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</si>
  <si>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</si>
  <si>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</si>
  <si>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</si>
  <si>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</si>
  <si>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</si>
  <si>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</si>
  <si>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</si>
  <si>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</si>
  <si>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</si>
  <si>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</si>
  <si>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</si>
  <si>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</si>
  <si>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</si>
  <si>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</si>
  <si>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</si>
  <si>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</si>
  <si>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</si>
  <si>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</si>
  <si>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</si>
  <si>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</si>
  <si>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</si>
  <si>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</si>
  <si>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</si>
  <si>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</si>
  <si>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</si>
  <si>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</si>
  <si>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</si>
  <si>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</si>
  <si>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</si>
  <si>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</si>
  <si>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</si>
  <si>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</si>
  <si>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</si>
  <si>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</si>
  <si>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</si>
  <si>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</si>
  <si>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</si>
  <si>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</si>
  <si>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</si>
  <si>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</si>
  <si>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</si>
  <si>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</si>
  <si>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</si>
  <si>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</si>
  <si>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</si>
  <si>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</si>
  <si>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</si>
  <si>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</si>
  <si>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</si>
  <si>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</si>
  <si>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</si>
  <si>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</si>
  <si>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</si>
  <si>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</si>
  <si>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</si>
  <si>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</si>
  <si>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</si>
  <si>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</si>
  <si>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</si>
  <si>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</si>
  <si>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</si>
  <si>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</si>
  <si>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</si>
  <si>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</si>
  <si>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</si>
  <si>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</si>
  <si>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</si>
  <si>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</si>
  <si>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</si>
  <si>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</si>
  <si>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</si>
  <si>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</si>
  <si>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</si>
  <si>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</si>
  <si>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</si>
  <si>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</si>
  <si>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</si>
  <si>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</si>
  <si>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</si>
  <si>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</si>
  <si>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</si>
  <si>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</si>
  <si>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</si>
  <si>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</si>
  <si>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</si>
  <si>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</si>
  <si>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</si>
  <si>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</si>
  <si>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</si>
  <si>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</si>
  <si>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</si>
  <si>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</si>
  <si>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</si>
  <si>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</si>
  <si>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</si>
  <si>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</si>
  <si>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</si>
  <si>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</si>
  <si>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</si>
  <si>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</si>
  <si>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</si>
  <si>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</si>
  <si>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</si>
  <si>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</si>
  <si>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</si>
  <si>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</si>
  <si>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</si>
  <si>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</si>
  <si>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</si>
  <si>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</si>
  <si>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</si>
  <si>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</si>
  <si>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</si>
  <si>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</si>
  <si>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</si>
  <si>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</si>
  <si>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</si>
  <si>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</si>
  <si>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</si>
  <si>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</si>
  <si>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</si>
  <si>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</si>
  <si>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</si>
  <si>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</si>
  <si>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</si>
  <si>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</si>
  <si>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</si>
  <si>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</si>
  <si>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</si>
  <si>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</si>
  <si>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</si>
  <si>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</si>
  <si>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</si>
  <si>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</si>
  <si>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</si>
  <si>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</si>
  <si>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</si>
  <si>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</si>
  <si>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</si>
  <si>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</si>
  <si>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</si>
  <si>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</si>
  <si>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</si>
  <si>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</si>
  <si>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</si>
  <si>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</si>
  <si>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</si>
  <si>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</si>
  <si>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</si>
  <si>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</si>
  <si>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</si>
  <si>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</si>
  <si>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</si>
  <si>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</si>
  <si>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</si>
  <si>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</si>
  <si>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</si>
  <si>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</si>
  <si>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</si>
  <si>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</si>
  <si>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</si>
  <si>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</si>
  <si>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</si>
  <si>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</si>
  <si>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</si>
  <si>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</si>
  <si>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</si>
  <si>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</si>
  <si>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</si>
  <si>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</si>
  <si>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</si>
  <si>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</si>
  <si>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</si>
  <si>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</si>
  <si>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</si>
  <si>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</si>
  <si>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</si>
  <si>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</si>
  <si>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</si>
  <si>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</si>
  <si>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</si>
  <si>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</si>
  <si>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</si>
  <si>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</si>
  <si>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</si>
  <si>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</si>
  <si>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</si>
  <si>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</si>
  <si>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</si>
  <si>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</si>
  <si>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</si>
  <si>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</si>
  <si>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</si>
  <si>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</si>
  <si>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</si>
  <si>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</si>
  <si>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</si>
  <si>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</si>
  <si>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</si>
  <si>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</si>
  <si>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</si>
  <si>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</si>
  <si>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</si>
  <si>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</si>
  <si>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</si>
  <si>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</si>
  <si>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</si>
  <si>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</si>
  <si>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</si>
  <si>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</si>
  <si>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</si>
  <si>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</si>
  <si>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</si>
  <si>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</si>
  <si>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</si>
  <si>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</si>
  <si>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</si>
  <si>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</si>
  <si>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</si>
  <si>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</si>
  <si>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</si>
  <si>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</si>
  <si>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</si>
  <si>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</si>
  <si>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</si>
  <si>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</si>
  <si>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</si>
  <si>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</si>
  <si>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</si>
  <si>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</si>
  <si>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</si>
  <si>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</si>
  <si>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</si>
  <si>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</si>
  <si>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</si>
  <si>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</si>
  <si>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</si>
  <si>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</si>
  <si>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</si>
  <si>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</si>
  <si>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</si>
  <si>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</si>
  <si>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</si>
  <si>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</si>
  <si>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</si>
  <si>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</si>
  <si>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</si>
  <si>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</si>
  <si>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</si>
  <si>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</si>
  <si>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</si>
  <si>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</si>
  <si>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</si>
  <si>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</si>
  <si>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</si>
  <si>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</si>
  <si>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</si>
  <si>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</si>
  <si>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</si>
  <si>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</si>
  <si>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</si>
  <si>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</si>
  <si>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</si>
  <si>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</si>
  <si>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</si>
  <si>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</si>
  <si>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</si>
  <si>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</si>
  <si>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</si>
  <si>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</si>
  <si>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</si>
  <si>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</si>
  <si>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</si>
  <si>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</si>
  <si>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</si>
  <si>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</si>
  <si>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</si>
  <si>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</si>
  <si>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</si>
  <si>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</si>
  <si>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</si>
  <si>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</si>
  <si>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</si>
  <si>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</si>
  <si>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</si>
  <si>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</si>
  <si>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</si>
  <si>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</si>
  <si>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</si>
  <si>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</si>
  <si>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</si>
  <si>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</si>
  <si>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</si>
  <si>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</si>
  <si>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</si>
  <si>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</si>
  <si>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</si>
  <si>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</si>
  <si>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</si>
  <si>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</si>
  <si>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</si>
  <si>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</si>
  <si>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</si>
  <si>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</si>
  <si>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</si>
  <si>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</si>
  <si>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</si>
  <si>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</si>
  <si>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</si>
  <si>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</si>
  <si>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</si>
  <si>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</si>
  <si>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</si>
  <si>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</si>
  <si>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</si>
  <si>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</si>
  <si>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</si>
  <si>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</si>
  <si>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</si>
  <si>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</si>
  <si>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</si>
  <si>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</si>
  <si>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</si>
  <si>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</si>
  <si>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</si>
  <si>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</si>
  <si>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</si>
  <si>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</si>
  <si>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</si>
  <si>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</si>
  <si>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</si>
  <si>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</si>
  <si>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</si>
  <si>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</si>
  <si>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</si>
  <si>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</si>
  <si>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</si>
  <si>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</si>
  <si>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</si>
  <si>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</si>
  <si>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</si>
  <si>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</si>
  <si>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</si>
  <si>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</si>
  <si>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</si>
  <si>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</si>
  <si>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</si>
  <si>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</si>
  <si>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</si>
  <si>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</si>
  <si>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</si>
  <si>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</si>
  <si>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</si>
  <si>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</si>
  <si>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</si>
  <si>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</si>
  <si>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</si>
  <si>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</si>
  <si>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</si>
  <si>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</si>
  <si>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</si>
  <si>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</si>
  <si>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</si>
  <si>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</si>
  <si>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</si>
  <si>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</si>
  <si>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</si>
  <si>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</si>
  <si>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</si>
  <si>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</si>
  <si>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</si>
  <si>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</si>
  <si>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</si>
  <si>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</si>
  <si>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</si>
  <si>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</si>
  <si>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</si>
  <si>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</si>
  <si>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</si>
  <si>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</si>
  <si>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</si>
  <si>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</si>
  <si>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</si>
  <si>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</si>
  <si>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</si>
  <si>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</si>
  <si>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</si>
  <si>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</si>
  <si>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</si>
  <si>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</si>
  <si>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</si>
  <si>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</si>
  <si>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</si>
  <si>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</si>
  <si>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</si>
  <si>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</si>
  <si>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</si>
  <si>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</si>
  <si>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</si>
  <si>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</si>
  <si>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</si>
  <si>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</si>
  <si>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</si>
  <si>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</si>
  <si>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</si>
  <si>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</si>
  <si>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</si>
  <si>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</si>
  <si>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</si>
  <si>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</si>
  <si>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</si>
  <si>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</si>
  <si>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</si>
  <si>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</si>
  <si>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</si>
  <si>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</si>
  <si>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</si>
  <si>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</si>
  <si>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</si>
  <si>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</si>
  <si>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</si>
  <si>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</si>
  <si>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</si>
  <si>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</si>
  <si>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</si>
  <si>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</si>
  <si>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</si>
  <si>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</si>
  <si>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</si>
  <si>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</si>
  <si>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</si>
  <si>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</si>
  <si>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</si>
  <si>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</si>
  <si>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</si>
  <si>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</si>
  <si>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</si>
  <si>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</si>
  <si>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</si>
  <si>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</si>
  <si>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</si>
  <si>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</si>
  <si>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</si>
  <si>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</si>
  <si>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</si>
  <si>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</si>
  <si>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</si>
  <si>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</si>
  <si>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</si>
  <si>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</si>
  <si>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</si>
  <si>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</si>
  <si>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</si>
  <si>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</si>
  <si>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</si>
  <si>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</si>
  <si>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</si>
  <si>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</si>
  <si>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</si>
  <si>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</si>
  <si>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</si>
  <si>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</si>
  <si>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</si>
  <si>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</si>
  <si>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</si>
  <si>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</si>
  <si>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</si>
  <si>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</si>
  <si>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</si>
  <si>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</si>
  <si>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</si>
  <si>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</si>
  <si>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</si>
  <si>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</si>
  <si>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</si>
  <si>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</si>
  <si>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</si>
  <si>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</si>
  <si>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</si>
  <si>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</si>
  <si>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</si>
  <si>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</si>
  <si>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</si>
  <si>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</si>
  <si>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</si>
  <si>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</si>
  <si>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</si>
  <si>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</si>
  <si>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</si>
  <si>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</si>
  <si>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</si>
  <si>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</si>
  <si>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</si>
  <si>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</si>
  <si>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</si>
  <si>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</si>
  <si>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</si>
  <si>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</si>
  <si>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</si>
  <si>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</si>
  <si>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</si>
  <si>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</si>
  <si>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</si>
  <si>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</si>
  <si>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</si>
  <si>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</si>
  <si>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</si>
  <si>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</si>
  <si>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</si>
  <si>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</si>
  <si>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</si>
  <si>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</si>
  <si>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</si>
  <si>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</si>
  <si>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</si>
  <si>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</si>
  <si>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</si>
  <si>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</si>
  <si>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</si>
  <si>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</si>
  <si>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</si>
  <si>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</si>
  <si>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</si>
  <si>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</si>
  <si>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</si>
  <si>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</si>
  <si>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</si>
  <si>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</si>
  <si>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</si>
  <si>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</si>
  <si>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</si>
  <si>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</si>
  <si>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</si>
  <si>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</si>
  <si>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</si>
  <si>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</si>
  <si>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</si>
  <si>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</si>
  <si>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</si>
  <si>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</si>
  <si>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</si>
  <si>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</si>
  <si>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</si>
  <si>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</si>
  <si>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</si>
  <si>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</si>
  <si>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</si>
  <si>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</si>
  <si>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</si>
  <si>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</si>
  <si>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</si>
  <si>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</si>
  <si>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</si>
  <si>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</si>
  <si>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</si>
  <si>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</si>
  <si>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</si>
  <si>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</si>
  <si>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</si>
  <si>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</si>
  <si>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</si>
  <si>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</si>
  <si>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</si>
  <si>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</si>
  <si>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</si>
  <si>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</si>
  <si>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</si>
  <si>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</si>
  <si>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</si>
  <si>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</si>
  <si>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</si>
  <si>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</si>
  <si>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</si>
  <si>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</si>
  <si>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</si>
  <si>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</si>
  <si>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</si>
  <si>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</si>
  <si>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</si>
  <si>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</si>
  <si>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</si>
  <si>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</si>
  <si>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</si>
  <si>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</si>
  <si>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</si>
  <si>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</si>
  <si>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</si>
  <si>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</si>
  <si>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</si>
  <si>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</si>
  <si>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</si>
  <si>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</si>
  <si>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</si>
  <si>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</si>
  <si>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</si>
  <si>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</si>
  <si>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</si>
  <si>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</si>
  <si>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</si>
  <si>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</si>
  <si>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</si>
  <si>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</si>
  <si>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</si>
  <si>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</si>
  <si>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</si>
  <si>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</si>
  <si>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</si>
  <si>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</si>
  <si>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</si>
  <si>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</si>
  <si>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</si>
  <si>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</si>
  <si>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</si>
  <si>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</si>
  <si>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</si>
  <si>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</si>
  <si>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</si>
  <si>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</si>
  <si>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</si>
  <si>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</si>
  <si>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</si>
  <si>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</si>
  <si>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</si>
  <si>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</si>
  <si>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</si>
  <si>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</si>
  <si>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</si>
  <si>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</si>
  <si>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</si>
  <si>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</si>
  <si>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</si>
  <si>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</si>
  <si>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</si>
  <si>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</si>
  <si>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</si>
  <si>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</si>
  <si>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</si>
  <si>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</si>
  <si>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</si>
  <si>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</si>
  <si>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</si>
  <si>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</si>
  <si>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</si>
  <si>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</si>
  <si>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</si>
  <si>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</si>
  <si>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</si>
  <si>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</si>
  <si>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</si>
  <si>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</si>
  <si>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</si>
  <si>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</si>
  <si>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</si>
  <si>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</si>
  <si>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</si>
  <si>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</si>
  <si>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</si>
  <si>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</si>
  <si>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</si>
  <si>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</si>
  <si>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</si>
  <si>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</si>
  <si>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</si>
  <si>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</si>
  <si>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</si>
  <si>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</si>
  <si>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</si>
  <si>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</si>
  <si>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</si>
  <si>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</si>
  <si>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</si>
  <si>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</si>
  <si>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</si>
  <si>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</si>
  <si>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</si>
  <si>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</si>
  <si>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</si>
  <si>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</si>
  <si>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</si>
  <si>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</si>
  <si>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</si>
  <si>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</si>
  <si>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</si>
  <si>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</si>
  <si>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</si>
  <si>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</si>
  <si>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</si>
  <si>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</si>
  <si>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</si>
  <si>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</si>
  <si>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</si>
  <si>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</si>
  <si>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</si>
  <si>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</si>
  <si>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08/15</t>
  </si>
  <si>
    <t>08/25</t>
  </si>
  <si>
    <t>Epping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</si>
</sst>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14</v>
      </c>
      <c r="C2" s="21"/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1378101.39+200+1100000</f>
        <v>2478301.3899999997</v>
      </c>
      <c r="G9" s="18">
        <v>56649.72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147954.35999999999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202050.15+9729.07</f>
        <v>211779.22</v>
      </c>
      <c r="G12" s="18">
        <v>72211.740000000005</v>
      </c>
      <c r="H12" s="18">
        <f>24397.53+1928.52+84977.29</f>
        <v>111303.34</v>
      </c>
      <c r="I12" s="18">
        <v>1100000</v>
      </c>
      <c r="J12" s="67">
        <f>SUM(I441)</f>
        <v>150000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7389.2</v>
      </c>
      <c r="G13" s="18">
        <v>10937.05</v>
      </c>
      <c r="H13" s="18">
        <v>119958.39999999999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934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19377.79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42981.47</v>
      </c>
      <c r="G17" s="18">
        <v>1908</v>
      </c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>
        <v>-9685.2099999999991</v>
      </c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2740451.2800000003</v>
      </c>
      <c r="G19" s="41">
        <f>SUM(G9:G18)</f>
        <v>152333.09000000003</v>
      </c>
      <c r="H19" s="41">
        <f>SUM(H9:H18)</f>
        <v>231261.74</v>
      </c>
      <c r="I19" s="41">
        <f>SUM(I9:I18)</f>
        <v>1100000</v>
      </c>
      <c r="J19" s="41">
        <f>SUM(J9:J18)</f>
        <v>297954.36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f>1100000+72211.74</f>
        <v>1172211.74</v>
      </c>
      <c r="G22" s="18">
        <v>84977.29</v>
      </c>
      <c r="H22" s="18">
        <f>198180.05+1927.54+553.81+9729.07</f>
        <v>210390.47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99404.3</v>
      </c>
      <c r="G24" s="18">
        <v>1345.98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28032.13+1653.26+1872.16+39.94</f>
        <v>31597.489999999998</v>
      </c>
      <c r="G28" s="18">
        <v>1510.96</v>
      </c>
      <c r="H28" s="18">
        <v>4274.29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319145.72-114.21+15130.9-598.94-0.71</f>
        <v>333562.75999999995</v>
      </c>
      <c r="G29" s="18">
        <f>113.37+89.27</f>
        <v>202.64</v>
      </c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23457.61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1660233.9000000001</v>
      </c>
      <c r="G32" s="41">
        <f>SUM(G22:G31)</f>
        <v>88036.87</v>
      </c>
      <c r="H32" s="41">
        <f>SUM(H22:H31)</f>
        <v>214664.76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21285.79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42981.47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43010.43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250000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-23457.61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200000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45660.67</v>
      </c>
      <c r="G48" s="18"/>
      <c r="H48" s="18">
        <v>16596.98</v>
      </c>
      <c r="I48" s="18">
        <v>1100000</v>
      </c>
      <c r="J48" s="13">
        <f>SUM(I459)</f>
        <v>147954.35999999999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150000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565032.85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1080217.3799999999</v>
      </c>
      <c r="G51" s="41">
        <f>SUM(G35:G50)</f>
        <v>64296.22</v>
      </c>
      <c r="H51" s="41">
        <f>SUM(H35:H50)</f>
        <v>16596.98</v>
      </c>
      <c r="I51" s="41">
        <f>SUM(I35:I50)</f>
        <v>1100000</v>
      </c>
      <c r="J51" s="41">
        <f>SUM(J35:J50)</f>
        <v>297954.36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2740451.2800000003</v>
      </c>
      <c r="G52" s="41">
        <f>G51+G32</f>
        <v>152333.09</v>
      </c>
      <c r="H52" s="41">
        <f>H51+H32</f>
        <v>231261.74000000002</v>
      </c>
      <c r="I52" s="41">
        <f>I51+I32</f>
        <v>1100000</v>
      </c>
      <c r="J52" s="41">
        <f>J51+J32</f>
        <v>297954.36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12277502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12277502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13700</f>
        <v>13700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1070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37857.339999999997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4638.66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57266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2792.81</v>
      </c>
      <c r="G96" s="18"/>
      <c r="H96" s="18"/>
      <c r="I96" s="18"/>
      <c r="J96" s="18">
        <v>1757.8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81829.42+76446.02+3078.75+5655.75+5647.4+62588.68</f>
        <v>235246.02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2875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147393.74+8055.03</f>
        <v>155448.76999999999</v>
      </c>
      <c r="G110" s="18"/>
      <c r="H110" s="18">
        <v>15055.89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161116.57999999999</v>
      </c>
      <c r="G111" s="41">
        <f>SUM(G96:G110)</f>
        <v>235246.02</v>
      </c>
      <c r="H111" s="41">
        <f>SUM(H96:H110)</f>
        <v>15055.89</v>
      </c>
      <c r="I111" s="41">
        <f>SUM(I96:I110)</f>
        <v>0</v>
      </c>
      <c r="J111" s="41">
        <f>SUM(J96:J110)</f>
        <v>1757.8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12495884.58</v>
      </c>
      <c r="G112" s="41">
        <f>G60+G111</f>
        <v>235246.02</v>
      </c>
      <c r="H112" s="41">
        <f>H60+H79+H94+H111</f>
        <v>15055.89</v>
      </c>
      <c r="I112" s="41">
        <f>I60+I111</f>
        <v>0</v>
      </c>
      <c r="J112" s="41">
        <f>J60+J111</f>
        <v>1757.8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3309629.45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1621443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5632.63+9699.04</f>
        <v>15331.670000000002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4946404.12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267874.59999999998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138602.66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11993.6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4850.08+554.52</f>
        <v>5404.6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418470.86</v>
      </c>
      <c r="G136" s="41">
        <f>SUM(G123:G135)</f>
        <v>5404.6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5364874.9800000004</v>
      </c>
      <c r="G140" s="41">
        <f>G121+SUM(G136:G137)</f>
        <v>5404.6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11172.86+126219.92</f>
        <v>137392.78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18234.67+25772+19623+12526.5</f>
        <v>76156.17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105563.58+22850.52</f>
        <v>128414.1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215022.14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163060.9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23309.01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163060.9</v>
      </c>
      <c r="G162" s="41">
        <f>SUM(G150:G161)</f>
        <v>151723.11000000002</v>
      </c>
      <c r="H162" s="41">
        <f>SUM(H150:H161)</f>
        <v>428571.09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163060.9</v>
      </c>
      <c r="G169" s="41">
        <f>G147+G162+SUM(G163:G168)</f>
        <v>151723.11000000002</v>
      </c>
      <c r="H169" s="41">
        <f>H147+H162+SUM(H163:H168)</f>
        <v>428571.09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3091.87</v>
      </c>
      <c r="H179" s="18"/>
      <c r="I179" s="18"/>
      <c r="J179" s="18">
        <v>150000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3091.87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3091.87</v>
      </c>
      <c r="H192" s="41">
        <f>+H183+SUM(H188:H191)</f>
        <v>0</v>
      </c>
      <c r="I192" s="41">
        <f>I177+I183+SUM(I188:I191)</f>
        <v>0</v>
      </c>
      <c r="J192" s="41">
        <f>J183</f>
        <v>150000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18023820.460000001</v>
      </c>
      <c r="G193" s="47">
        <f>G112+G140+G169+G192</f>
        <v>395465.6</v>
      </c>
      <c r="H193" s="47">
        <f>H112+H140+H169+H192</f>
        <v>443626.98000000004</v>
      </c>
      <c r="I193" s="47">
        <f>I112+I140+I169+I192</f>
        <v>0</v>
      </c>
      <c r="J193" s="47">
        <f>J112+J140+J192</f>
        <v>151757.79999999999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1410990.51+222504.62+78100.11+62706.68+19876.85+20000+16000+874.65</f>
        <v>1831053.42</v>
      </c>
      <c r="G197" s="18">
        <f>387704.05+73437.41+16250.15+2077.92+107846.91+22421.52+246893.92+39890.02+2447.45+51361.89</f>
        <v>950331.24</v>
      </c>
      <c r="H197" s="18">
        <v>730.43</v>
      </c>
      <c r="I197" s="18">
        <f>5964.28+5497.1+5201.89+4242.4+3743.17+4877.81+474.94+1711.43+1849.17+3285.28+110.03+1832.42+5984.78+1769.66+2350.64+3251.9+1352.86+4369.6+2955.76+3049.2+48.24+1048.4+1229.2+2821.33+2372.34+1968.56+9476.95+1473.57</f>
        <v>84312.909999999989</v>
      </c>
      <c r="J197" s="18">
        <f>289.41+1986.2+660.84+146.99+797.58</f>
        <v>3881.0200000000004</v>
      </c>
      <c r="K197" s="18">
        <v>0</v>
      </c>
      <c r="L197" s="19">
        <f>SUM(F197:K197)</f>
        <v>2870309.0200000005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318510+95871.87+269286.11+56517.37+40860.06+23533.08+1425</f>
        <v>806003.48999999987</v>
      </c>
      <c r="G198" s="18">
        <f>187682.72+76636.77+3406.67+1923.36+43746.6+10682.58+56182.66+18791.18+3414.52+15112.53</f>
        <v>417579.59</v>
      </c>
      <c r="H198" s="18">
        <f>4080+10376.08</f>
        <v>14456.08</v>
      </c>
      <c r="I198" s="18">
        <f>3153.36+1538.77+800+1050+94.95+2647.85+197.5</f>
        <v>9482.43</v>
      </c>
      <c r="J198" s="18">
        <f>443.1+1476.71</f>
        <v>1919.81</v>
      </c>
      <c r="K198" s="18">
        <v>0</v>
      </c>
      <c r="L198" s="19">
        <f>SUM(F198:K198)</f>
        <v>1249441.3999999999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15712.36</f>
        <v>15712.36</v>
      </c>
      <c r="G200" s="18">
        <f>1158.54+4.26+521.37+252.74+98.52</f>
        <v>2035.43</v>
      </c>
      <c r="H200" s="18">
        <v>5000</v>
      </c>
      <c r="I200" s="18">
        <v>596.22</v>
      </c>
      <c r="J200" s="18">
        <v>0</v>
      </c>
      <c r="K200" s="18">
        <v>0</v>
      </c>
      <c r="L200" s="19">
        <f>SUM(F200:K200)</f>
        <v>23344.010000000002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102072+48451+22336.76+27917.86+79068.11+59835.37</f>
        <v>339681.1</v>
      </c>
      <c r="G202" s="18">
        <f>27259.94+1076.3+7354.83+17605.91+34657.39+961.68+4922.62+8220.08+20721.57+48625.93+29805.18</f>
        <v>201211.42999999996</v>
      </c>
      <c r="H202" s="18">
        <f>67986.95+218.54+10352.91+1719.73+21346.04+3688.45</f>
        <v>105312.61999999998</v>
      </c>
      <c r="I202" s="18">
        <f>397.36+1838.75+1183.16+1400.62+400.01+2214.72+12.25+363.53</f>
        <v>7810.4000000000005</v>
      </c>
      <c r="J202" s="18">
        <f>500+324.95+77.09</f>
        <v>902.04000000000008</v>
      </c>
      <c r="K202" s="18">
        <v>0</v>
      </c>
      <c r="L202" s="19">
        <f t="shared" ref="L202:L208" si="0">SUM(F202:K202)</f>
        <v>654917.59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2302+4375+63973+4059.15+66394.66</f>
        <v>141103.81</v>
      </c>
      <c r="G203" s="18">
        <f>500.09+77.33+12293.7+312.25+4487.79+11431.53+54226.96+24831.58</f>
        <v>108161.23</v>
      </c>
      <c r="H203" s="18">
        <f>4954.07+24900.79</f>
        <v>29854.86</v>
      </c>
      <c r="I203" s="18">
        <f>595.44+3434.87+771.88+2767.15+7809.33+25575.87</f>
        <v>40954.54</v>
      </c>
      <c r="J203" s="18">
        <f>200.22+92625.42+1112.96</f>
        <v>93938.6</v>
      </c>
      <c r="K203" s="18">
        <f>147</f>
        <v>147</v>
      </c>
      <c r="L203" s="19">
        <f t="shared" si="0"/>
        <v>414160.03999999992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8401.05+162679.22+89440.38</f>
        <v>260520.65</v>
      </c>
      <c r="G204" s="18">
        <f>639.96+68618.57+47063.13-140</f>
        <v>116181.66</v>
      </c>
      <c r="H204" s="18">
        <f>19439.1+15782.7+5674.92-3729.46</f>
        <v>37167.26</v>
      </c>
      <c r="I204" s="18">
        <f>10097.51+1997.34</f>
        <v>12094.85</v>
      </c>
      <c r="J204" s="18"/>
      <c r="K204" s="18">
        <f>3806.08+509.77+782.92</f>
        <v>5098.7700000000004</v>
      </c>
      <c r="L204" s="19">
        <f t="shared" si="0"/>
        <v>431063.19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97000+78473.1+18675.8+89217.54</f>
        <v>283366.44</v>
      </c>
      <c r="G205" s="18">
        <f>58234.62+1348.52+20929.48+10482.86+30645.94+499+897.17</f>
        <v>123037.59</v>
      </c>
      <c r="H205" s="18">
        <f>13219.19+4359.24+2611.41+115.18</f>
        <v>20305.02</v>
      </c>
      <c r="I205" s="18">
        <f>3840.19</f>
        <v>3840.19</v>
      </c>
      <c r="J205" s="18">
        <f>1262.14</f>
        <v>1262.1400000000001</v>
      </c>
      <c r="K205" s="18">
        <v>9599</v>
      </c>
      <c r="L205" s="19">
        <f t="shared" si="0"/>
        <v>441410.38000000006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130400.9+107526.25</f>
        <v>237927.15</v>
      </c>
      <c r="G207" s="18">
        <f>69314.82+2987.55+8989.12+14844.66+47807.84</f>
        <v>143943.99</v>
      </c>
      <c r="H207" s="18">
        <f>166651.2+50239.3</f>
        <v>216890.5</v>
      </c>
      <c r="I207" s="18">
        <f>221165.77-6507.71</f>
        <v>214658.06</v>
      </c>
      <c r="J207" s="18">
        <f>4632.33</f>
        <v>4632.33</v>
      </c>
      <c r="K207" s="18"/>
      <c r="L207" s="19">
        <f t="shared" si="0"/>
        <v>818052.02999999991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144046.77+1763.96+60767.35</f>
        <v>206578.08</v>
      </c>
      <c r="I208" s="18"/>
      <c r="J208" s="18"/>
      <c r="K208" s="18"/>
      <c r="L208" s="19">
        <f t="shared" si="0"/>
        <v>206578.08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3915368.4199999995</v>
      </c>
      <c r="G211" s="41">
        <f t="shared" si="1"/>
        <v>2062482.16</v>
      </c>
      <c r="H211" s="41">
        <f t="shared" si="1"/>
        <v>636294.85</v>
      </c>
      <c r="I211" s="41">
        <f t="shared" si="1"/>
        <v>373749.6</v>
      </c>
      <c r="J211" s="41">
        <f t="shared" si="1"/>
        <v>106535.94</v>
      </c>
      <c r="K211" s="41">
        <f t="shared" si="1"/>
        <v>14844.77</v>
      </c>
      <c r="L211" s="41">
        <f t="shared" si="1"/>
        <v>7109275.7400000012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920326.25+28404.36+8924.3+392.7-0.04</f>
        <v>958047.57</v>
      </c>
      <c r="G215" s="18">
        <f>266900.04+9624.1+75312.53+1311.07+127122.18+1098.86+23060.44</f>
        <v>504429.21999999991</v>
      </c>
      <c r="H215" s="18">
        <f>295+59.85+2144.8+80+158.5+327.95</f>
        <v>3066.1</v>
      </c>
      <c r="I215" s="18">
        <f>9519.3+1411.43+64.01+1747.93+658.82+1226.5+397.43+2112.61+120+1677.6+299.99+1090.82+3379.14+600+100+520+251.49+233.48+2500+500+661.6-2093.08</f>
        <v>26979.07</v>
      </c>
      <c r="J215" s="18">
        <f>2380.53+357.55+268.19+75.84+400+300+1024.09+99.99</f>
        <v>4906.1900000000005</v>
      </c>
      <c r="K215" s="18"/>
      <c r="L215" s="19">
        <f>SUM(F215:K215)</f>
        <v>1497428.15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146465.28+180488.99+18345.33+10565.87</f>
        <v>355865.47000000003</v>
      </c>
      <c r="G216" s="18">
        <f>95784.67+2097.4+24023.17+309.07+37753.31+1533.05+6785.22</f>
        <v>168285.88999999998</v>
      </c>
      <c r="H216" s="18">
        <f>20208.35+39200.01</f>
        <v>59408.36</v>
      </c>
      <c r="I216" s="18">
        <f>1787.95+199.9+1188.83+88.68</f>
        <v>3265.36</v>
      </c>
      <c r="J216" s="18">
        <v>308.89999999999998</v>
      </c>
      <c r="K216" s="18"/>
      <c r="L216" s="19">
        <f>SUM(F216:K216)</f>
        <v>587133.98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11366.5+4760+19303+24126</f>
        <v>59555.5</v>
      </c>
      <c r="G218" s="18">
        <f>1204.36+284.51+106.71+1462.93+273.58+5857.21+113.48+44.23</f>
        <v>9347.0099999999984</v>
      </c>
      <c r="H218" s="18">
        <f>3000+4000+6329+200-200</f>
        <v>13329</v>
      </c>
      <c r="I218" s="18">
        <f>500+2511.9-400</f>
        <v>2611.9</v>
      </c>
      <c r="J218" s="18">
        <f>996.3+5028.1-1668</f>
        <v>4356.4000000000005</v>
      </c>
      <c r="K218" s="18">
        <v>898.5</v>
      </c>
      <c r="L218" s="19">
        <f>SUM(F218:K218)</f>
        <v>90098.309999999983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56390+36591.31+12534.55+35499.97+26864.86</f>
        <v>167880.69</v>
      </c>
      <c r="G220" s="18">
        <f>3000+4543.87+10053.28+15988.18+9303.56+21832.05+13381.92</f>
        <v>78102.86</v>
      </c>
      <c r="H220" s="18">
        <f>88+30524.75+98.12+4648.24+772.12+9583.94+1656.04-4022.75</f>
        <v>43348.460000000006</v>
      </c>
      <c r="I220" s="18">
        <f>374.31+50+2746.51+719.33+994.36+5.5+163.22</f>
        <v>5053.2300000000005</v>
      </c>
      <c r="J220" s="18">
        <f>2313.68+132+174.1+34.61</f>
        <v>2654.39</v>
      </c>
      <c r="K220" s="18"/>
      <c r="L220" s="19">
        <f t="shared" ref="L220:L226" si="2">SUM(F220:K220)</f>
        <v>297039.63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2302+1400+36387.59+1822.48+29809.85</f>
        <v>71721.919999999998</v>
      </c>
      <c r="G221" s="18">
        <f>272.19+15.66+20273.48+24346.8+11148.87</f>
        <v>56057</v>
      </c>
      <c r="H221" s="18">
        <f>423.93+2224.27+11179.95</f>
        <v>13828.150000000001</v>
      </c>
      <c r="I221" s="18">
        <f>850+1390.64+1497.73+468.49+1202+3506.23+11483.05-249.26</f>
        <v>20148.88</v>
      </c>
      <c r="J221" s="18">
        <f>2313.6+499.47+41586.92</f>
        <v>44399.99</v>
      </c>
      <c r="K221" s="18">
        <f>66</f>
        <v>66</v>
      </c>
      <c r="L221" s="19">
        <f t="shared" si="2"/>
        <v>206221.94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3771.9+73039.65+40156.91</f>
        <v>116968.45999999999</v>
      </c>
      <c r="G222" s="18">
        <f>287.33+30808.34+21130.38</f>
        <v>52226.05</v>
      </c>
      <c r="H222" s="18">
        <f>8727.76+7086.11+2547.92</f>
        <v>18361.79</v>
      </c>
      <c r="I222" s="18">
        <f>4533.58+896.77</f>
        <v>5430.35</v>
      </c>
      <c r="J222" s="18"/>
      <c r="K222" s="18">
        <f>1708.85+228.88+351.52</f>
        <v>2289.25</v>
      </c>
      <c r="L222" s="19">
        <f t="shared" si="2"/>
        <v>195275.90000000002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92000+37249.02+15450+73981.18</f>
        <v>218680.19999999998</v>
      </c>
      <c r="G223" s="18">
        <f>9798.27+2577.45+16533.7+8671.64+22554.65+879</f>
        <v>61014.71</v>
      </c>
      <c r="H223" s="18">
        <f>6643.11+7550.86+959.73+191.39-235.32</f>
        <v>15109.769999999999</v>
      </c>
      <c r="I223" s="18">
        <f>2627.89</f>
        <v>2627.89</v>
      </c>
      <c r="J223" s="18"/>
      <c r="K223" s="18">
        <f>1023+3912.15</f>
        <v>4935.1499999999996</v>
      </c>
      <c r="L223" s="19">
        <f t="shared" si="2"/>
        <v>302367.72000000003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78371.92+48277.09</f>
        <v>126649.01</v>
      </c>
      <c r="G225" s="18">
        <f>49307.6+21464.74</f>
        <v>70772.34</v>
      </c>
      <c r="H225" s="18">
        <f>74822.99+22556.42</f>
        <v>97379.41</v>
      </c>
      <c r="I225" s="18">
        <f>99298.92-2921.83</f>
        <v>96377.09</v>
      </c>
      <c r="J225" s="18">
        <f>2079.82</f>
        <v>2079.8200000000002</v>
      </c>
      <c r="K225" s="18"/>
      <c r="L225" s="19">
        <f t="shared" si="2"/>
        <v>393257.67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64674.06+11193.04+1548.84+6740.79+49371.86</f>
        <v>133528.59</v>
      </c>
      <c r="I226" s="18"/>
      <c r="J226" s="18"/>
      <c r="K226" s="18"/>
      <c r="L226" s="19">
        <f t="shared" si="2"/>
        <v>133528.59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2075368.8199999998</v>
      </c>
      <c r="G229" s="41">
        <f>SUM(G215:G228)</f>
        <v>1000235.0799999998</v>
      </c>
      <c r="H229" s="41">
        <f>SUM(H215:H228)</f>
        <v>397359.63</v>
      </c>
      <c r="I229" s="41">
        <f>SUM(I215:I228)</f>
        <v>162493.77000000002</v>
      </c>
      <c r="J229" s="41">
        <f>SUM(J215:J228)</f>
        <v>58705.689999999995</v>
      </c>
      <c r="K229" s="41">
        <f t="shared" si="3"/>
        <v>8188.9</v>
      </c>
      <c r="L229" s="41">
        <f t="shared" si="3"/>
        <v>3702351.8899999997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1303356.14+20273.2+31171.37+11763.85+517.65-1252.24</f>
        <v>1365829.97</v>
      </c>
      <c r="G233" s="18">
        <f>382070.39+15464.44+98051.79+2942.03+218539.81+1448.49+30397.86</f>
        <v>748914.80999999994</v>
      </c>
      <c r="H233" s="18">
        <f>371.75+330+3190.17+432.29-300</f>
        <v>4024.21</v>
      </c>
      <c r="I233" s="18">
        <f>11195.4+9801.42+100+188.5+6573.9+184.52+3882.68+993.39+812.99+268.23+4070.01+432.53+3275.56+422.26+656.88+1895.2+100+2500+1212.75+950.73+2398+299.8+244.66+164.99+550+250+875+73.84+872.11</f>
        <v>55245.350000000006</v>
      </c>
      <c r="J233" s="18">
        <f>27900+1000+4680.64+2457.15+2090.14+3914.07+799+1300+999.98+115.9+598.44+500+300.93-39.95</f>
        <v>46616.30000000001</v>
      </c>
      <c r="K233" s="18">
        <v>720</v>
      </c>
      <c r="L233" s="19">
        <f>SUM(F233:K233)</f>
        <v>2221350.6399999997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280460.29+93641.04+24182.48+13927.74</f>
        <v>412211.54999999993</v>
      </c>
      <c r="G234" s="18">
        <f>102728.87+2946.58+26369.79+28731.78+2020.84+8944.15</f>
        <v>171742.00999999998</v>
      </c>
      <c r="H234" s="18">
        <f>77171.04+166938.75+181104.69+98383.2-8445.62</f>
        <v>515152.06</v>
      </c>
      <c r="I234" s="18">
        <f>1585.83+245.19+300+1567.1+116.89</f>
        <v>3815.0099999999998</v>
      </c>
      <c r="J234" s="18"/>
      <c r="K234" s="18"/>
      <c r="L234" s="19">
        <f>SUM(F234:K234)</f>
        <v>1102920.6299999999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130753</v>
      </c>
      <c r="I235" s="18"/>
      <c r="J235" s="18"/>
      <c r="K235" s="18"/>
      <c r="L235" s="19">
        <f>SUM(F235:K235)</f>
        <v>130753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32476.5+7700+1780+69509.62+1915+30706</f>
        <v>144087.12</v>
      </c>
      <c r="G236" s="18">
        <f>3111.25+5.67+383.56+5438.89+6.82+1533.83+7454.63+149.58+58.31</f>
        <v>18142.540000000005</v>
      </c>
      <c r="H236" s="18">
        <f>1000+27232+19000+11746.54+147.55+2334.91+768.84</f>
        <v>62229.84</v>
      </c>
      <c r="I236" s="18">
        <f>1332.24+9398.21+4310+1610.78-8030.33</f>
        <v>8620.9</v>
      </c>
      <c r="J236" s="18">
        <f>6153.17+17978.47-4607</f>
        <v>19524.64</v>
      </c>
      <c r="K236" s="18">
        <f>10294.65</f>
        <v>10294.65</v>
      </c>
      <c r="L236" s="19">
        <f>SUM(F236:K236)</f>
        <v>262899.69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80326+39062.52+46570.75+16522.82+46795.41+35412.77</f>
        <v>264690.27</v>
      </c>
      <c r="G238" s="18">
        <f>52789.46+1923.36+8548.86+4493.07+22558.04+20348.6+12263.78+28778.61+17639.8</f>
        <v>169343.58000000002</v>
      </c>
      <c r="H238" s="18">
        <f>5062.5+112+40237.18+129.34+6127.23+1017.8+12640.62+2182.96-5119.86</f>
        <v>62389.770000000004</v>
      </c>
      <c r="I238" s="18">
        <f>610.06+1987.5+1262+3495.56+915.5+1310.75+215.15</f>
        <v>9796.5199999999986</v>
      </c>
      <c r="J238" s="18">
        <f>168+221.59+45.62</f>
        <v>435.21000000000004</v>
      </c>
      <c r="K238" s="18"/>
      <c r="L238" s="19">
        <f t="shared" ref="L238:L244" si="4">SUM(F238:K238)</f>
        <v>506655.35000000009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2302+3218.75+46311.47+2402.35+39294.8</f>
        <v>93529.37</v>
      </c>
      <c r="G239" s="18">
        <f>400.71+21.71+25802.6+32093.51+14696.24-1541.61</f>
        <v>71473.16</v>
      </c>
      <c r="H239" s="18">
        <f>539.55+2932+14737.2-247.49</f>
        <v>17961.259999999998</v>
      </c>
      <c r="I239" s="18">
        <f>1497.37+3362.67+4885.89+600+1232+4621.85+15136.74</f>
        <v>31336.52</v>
      </c>
      <c r="J239" s="18">
        <f>2721.24+500+54819.12-5511.54</f>
        <v>52528.82</v>
      </c>
      <c r="K239" s="18">
        <f>87</f>
        <v>87</v>
      </c>
      <c r="L239" s="19">
        <f t="shared" si="4"/>
        <v>266916.13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4972.05+96279.54+52934.1</f>
        <v>154185.69</v>
      </c>
      <c r="G240" s="18">
        <f>378.75+40610.99+27853.69</f>
        <v>68843.429999999993</v>
      </c>
      <c r="H240" s="18">
        <f>11504.78+9340.78+3358.63</f>
        <v>24204.190000000002</v>
      </c>
      <c r="I240" s="18">
        <f>5976.08+1182.1</f>
        <v>7158.18</v>
      </c>
      <c r="J240" s="18"/>
      <c r="K240" s="18">
        <f>2252.58+463.36+301.7-811.55</f>
        <v>2206.09</v>
      </c>
      <c r="L240" s="19">
        <f t="shared" si="4"/>
        <v>256597.58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100000+37249+19055+73129.64</f>
        <v>229433.64</v>
      </c>
      <c r="G241" s="18">
        <f>58677.54+893.61+16719.45+8733+23832.7+1654.6</f>
        <v>110510.90000000001</v>
      </c>
      <c r="H241" s="18">
        <f>12050.08+7550.87+4500+1115.54</f>
        <v>25216.49</v>
      </c>
      <c r="I241" s="18">
        <v>3910.94</v>
      </c>
      <c r="J241" s="18"/>
      <c r="K241" s="18">
        <f>873+3425+5165.52</f>
        <v>9463.52</v>
      </c>
      <c r="L241" s="19">
        <f t="shared" si="4"/>
        <v>378535.49000000005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99746.09+63637.98</f>
        <v>163384.07</v>
      </c>
      <c r="G243" s="18">
        <f>62755.12+28294.44</f>
        <v>91049.56</v>
      </c>
      <c r="H243" s="18">
        <f>98630.3+29733.47</f>
        <v>128363.77</v>
      </c>
      <c r="I243" s="18">
        <f>130894.03-3851.5</f>
        <v>127042.53</v>
      </c>
      <c r="J243" s="18">
        <f>2741.58</f>
        <v>2741.58</v>
      </c>
      <c r="K243" s="18"/>
      <c r="L243" s="19">
        <f t="shared" si="4"/>
        <v>512581.51000000007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85252.17+51802.17+29124.52+3162.01+1043.86+134824.25</f>
        <v>305208.98</v>
      </c>
      <c r="I244" s="18"/>
      <c r="J244" s="18"/>
      <c r="K244" s="18"/>
      <c r="L244" s="19">
        <f t="shared" si="4"/>
        <v>305208.98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2827351.68</v>
      </c>
      <c r="G247" s="41">
        <f t="shared" si="5"/>
        <v>1450019.9899999998</v>
      </c>
      <c r="H247" s="41">
        <f t="shared" si="5"/>
        <v>1275503.57</v>
      </c>
      <c r="I247" s="41">
        <f t="shared" si="5"/>
        <v>246925.95</v>
      </c>
      <c r="J247" s="41">
        <f t="shared" si="5"/>
        <v>121846.55</v>
      </c>
      <c r="K247" s="41">
        <f t="shared" si="5"/>
        <v>22771.260000000002</v>
      </c>
      <c r="L247" s="41">
        <f t="shared" si="5"/>
        <v>5944419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8818088.9199999999</v>
      </c>
      <c r="G257" s="41">
        <f t="shared" si="8"/>
        <v>4512737.2299999995</v>
      </c>
      <c r="H257" s="41">
        <f t="shared" si="8"/>
        <v>2309158.0499999998</v>
      </c>
      <c r="I257" s="41">
        <f t="shared" si="8"/>
        <v>783169.32000000007</v>
      </c>
      <c r="J257" s="41">
        <f t="shared" si="8"/>
        <v>287088.18</v>
      </c>
      <c r="K257" s="41">
        <f t="shared" si="8"/>
        <v>45804.93</v>
      </c>
      <c r="L257" s="41">
        <f t="shared" si="8"/>
        <v>16756046.630000001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635000</v>
      </c>
      <c r="L260" s="19">
        <f>SUM(F260:K260)</f>
        <v>635000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268588.26</v>
      </c>
      <c r="L261" s="19">
        <f>SUM(F261:K261)</f>
        <v>268588.26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3091.87</v>
      </c>
      <c r="L263" s="19">
        <f>SUM(F263:K263)</f>
        <v>3091.87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150000</v>
      </c>
      <c r="L266" s="19">
        <f t="shared" si="9"/>
        <v>150000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1056680.1299999999</v>
      </c>
      <c r="L270" s="41">
        <f t="shared" si="9"/>
        <v>1056680.1299999999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8818088.9199999999</v>
      </c>
      <c r="G271" s="42">
        <f t="shared" si="11"/>
        <v>4512737.2299999995</v>
      </c>
      <c r="H271" s="42">
        <f t="shared" si="11"/>
        <v>2309158.0499999998</v>
      </c>
      <c r="I271" s="42">
        <f t="shared" si="11"/>
        <v>783169.32000000007</v>
      </c>
      <c r="J271" s="42">
        <f t="shared" si="11"/>
        <v>287088.18</v>
      </c>
      <c r="K271" s="42">
        <f t="shared" si="11"/>
        <v>1102485.0599999998</v>
      </c>
      <c r="L271" s="42">
        <f t="shared" si="11"/>
        <v>17812726.760000002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8155+104935.09</f>
        <v>113090.09</v>
      </c>
      <c r="G276" s="18">
        <f>623.86+6751.68</f>
        <v>7375.54</v>
      </c>
      <c r="H276" s="18"/>
      <c r="I276" s="18">
        <f>1499.26</f>
        <v>1499.26</v>
      </c>
      <c r="J276" s="18">
        <f>12213.25</f>
        <v>12213.25</v>
      </c>
      <c r="K276" s="18"/>
      <c r="L276" s="19">
        <f>SUM(F276:K276)</f>
        <v>134178.13999999998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6758.79+50637</f>
        <v>57395.79</v>
      </c>
      <c r="G277" s="18">
        <f>4097.27</f>
        <v>4097.2700000000004</v>
      </c>
      <c r="H277" s="18"/>
      <c r="I277" s="18"/>
      <c r="J277" s="18"/>
      <c r="K277" s="18"/>
      <c r="L277" s="19">
        <f>SUM(F277:K277)</f>
        <v>61493.06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7980.15</f>
        <v>7980.15</v>
      </c>
      <c r="G281" s="18">
        <f>582.82</f>
        <v>582.82000000000005</v>
      </c>
      <c r="H281" s="18"/>
      <c r="I281" s="18">
        <f>488.91</f>
        <v>488.91</v>
      </c>
      <c r="J281" s="18"/>
      <c r="K281" s="18"/>
      <c r="L281" s="19">
        <f t="shared" ref="L281:L287" si="12">SUM(F281:K281)</f>
        <v>9051.8799999999992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4025.55+509.95+1500+2551.42+230.27+3013.5+3296.98</f>
        <v>15127.67</v>
      </c>
      <c r="G282" s="18">
        <f>302.19+37.19+112.91+181.69+16.9+217.23+455.79</f>
        <v>1323.9</v>
      </c>
      <c r="H282" s="18">
        <f>829.81+56.7+481.86+2586.05+3359+3611.64+1482.45+5410.83+233.82</f>
        <v>18052.16</v>
      </c>
      <c r="I282" s="18">
        <f>4.25+95.25+328.1+444.82+204.97+2358.42</f>
        <v>3435.8100000000004</v>
      </c>
      <c r="J282" s="18"/>
      <c r="K282" s="18"/>
      <c r="L282" s="19">
        <f t="shared" si="12"/>
        <v>37939.539999999994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f>1593.73+650.48</f>
        <v>2244.21</v>
      </c>
      <c r="G283" s="18">
        <f>120.92+48.19</f>
        <v>169.11</v>
      </c>
      <c r="H283" s="18"/>
      <c r="I283" s="18"/>
      <c r="J283" s="18"/>
      <c r="K283" s="18"/>
      <c r="L283" s="19">
        <f t="shared" si="12"/>
        <v>2413.3200000000002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>
        <f>12010.88</f>
        <v>12010.88</v>
      </c>
      <c r="J286" s="18"/>
      <c r="K286" s="18"/>
      <c r="L286" s="19">
        <f t="shared" si="12"/>
        <v>12010.88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f>2394</f>
        <v>2394</v>
      </c>
      <c r="I287" s="18"/>
      <c r="J287" s="18"/>
      <c r="K287" s="18"/>
      <c r="L287" s="19">
        <f t="shared" si="12"/>
        <v>2394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195837.91</v>
      </c>
      <c r="G290" s="42">
        <f t="shared" si="13"/>
        <v>13548.640000000001</v>
      </c>
      <c r="H290" s="42">
        <f t="shared" si="13"/>
        <v>20446.16</v>
      </c>
      <c r="I290" s="42">
        <f t="shared" si="13"/>
        <v>17434.86</v>
      </c>
      <c r="J290" s="42">
        <f t="shared" si="13"/>
        <v>12213.25</v>
      </c>
      <c r="K290" s="42">
        <f t="shared" si="13"/>
        <v>0</v>
      </c>
      <c r="L290" s="41">
        <f t="shared" si="13"/>
        <v>259480.82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231</f>
        <v>231</v>
      </c>
      <c r="G295" s="18"/>
      <c r="H295" s="18">
        <f>8403.12</f>
        <v>8403.1200000000008</v>
      </c>
      <c r="I295" s="18">
        <f>5511.66</f>
        <v>5511.66</v>
      </c>
      <c r="J295" s="18">
        <f>5483.5</f>
        <v>5483.5</v>
      </c>
      <c r="K295" s="18"/>
      <c r="L295" s="19">
        <f>SUM(F295:K295)</f>
        <v>19629.28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31986+8557.07</f>
        <v>40543.07</v>
      </c>
      <c r="G296" s="18">
        <f>3015.27</f>
        <v>3015.27</v>
      </c>
      <c r="H296" s="18"/>
      <c r="I296" s="18"/>
      <c r="J296" s="18"/>
      <c r="K296" s="18"/>
      <c r="L296" s="19">
        <f>SUM(F296:K296)</f>
        <v>43558.34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f>3582.93</f>
        <v>3582.93</v>
      </c>
      <c r="G300" s="18">
        <f>261.67</f>
        <v>261.67</v>
      </c>
      <c r="H300" s="18"/>
      <c r="I300" s="18">
        <f>219.51</f>
        <v>219.51</v>
      </c>
      <c r="J300" s="18"/>
      <c r="K300" s="18"/>
      <c r="L300" s="19">
        <f t="shared" ref="L300:L306" si="14">SUM(F300:K300)</f>
        <v>4064.1099999999997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1807.39+228.96+1145.54+103.38+1353+1480.28</f>
        <v>6118.55</v>
      </c>
      <c r="G301" s="18">
        <f>135.68+16.7+81.58+7.59+97.53+204.64</f>
        <v>543.72</v>
      </c>
      <c r="H301" s="18">
        <f>372.57+216.35+1621.55+665.59+2429.35+104.98</f>
        <v>5410.3899999999994</v>
      </c>
      <c r="I301" s="18">
        <f>1.91+42.77+92.03+1058.88+380.3</f>
        <v>1575.89</v>
      </c>
      <c r="J301" s="18"/>
      <c r="K301" s="18"/>
      <c r="L301" s="19">
        <f t="shared" si="14"/>
        <v>13648.55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f>715.55+292.05</f>
        <v>1007.5999999999999</v>
      </c>
      <c r="G302" s="18">
        <f>54.29+21.64</f>
        <v>75.930000000000007</v>
      </c>
      <c r="H302" s="18"/>
      <c r="I302" s="18"/>
      <c r="J302" s="18"/>
      <c r="K302" s="18"/>
      <c r="L302" s="19">
        <f t="shared" si="14"/>
        <v>1083.53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>
        <f>5392.64</f>
        <v>5392.64</v>
      </c>
      <c r="J305" s="18"/>
      <c r="K305" s="18"/>
      <c r="L305" s="19">
        <f t="shared" si="14"/>
        <v>5392.64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51483.15</v>
      </c>
      <c r="G309" s="42">
        <f t="shared" si="15"/>
        <v>3896.5899999999997</v>
      </c>
      <c r="H309" s="42">
        <f t="shared" si="15"/>
        <v>13813.51</v>
      </c>
      <c r="I309" s="42">
        <f t="shared" si="15"/>
        <v>12699.7</v>
      </c>
      <c r="J309" s="42">
        <f t="shared" si="15"/>
        <v>5483.5</v>
      </c>
      <c r="K309" s="42">
        <f t="shared" si="15"/>
        <v>0</v>
      </c>
      <c r="L309" s="41">
        <f t="shared" si="15"/>
        <v>87376.45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294</f>
        <v>294</v>
      </c>
      <c r="G314" s="18"/>
      <c r="H314" s="18"/>
      <c r="I314" s="18">
        <f>10694.88+7014.84</f>
        <v>17709.72</v>
      </c>
      <c r="J314" s="18">
        <f>7228.25</f>
        <v>7228.25</v>
      </c>
      <c r="K314" s="18"/>
      <c r="L314" s="19">
        <f>SUM(F314:K314)</f>
        <v>25231.97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42839+4722.95+2400</f>
        <v>49961.95</v>
      </c>
      <c r="G319" s="18">
        <f>3277.18+344.93+183.58</f>
        <v>3805.6899999999996</v>
      </c>
      <c r="H319" s="18"/>
      <c r="I319" s="18">
        <f>289.35+2359.89</f>
        <v>2649.24</v>
      </c>
      <c r="J319" s="18"/>
      <c r="K319" s="18"/>
      <c r="L319" s="19">
        <f t="shared" ref="L319:L325" si="16">SUM(F319:K319)</f>
        <v>56416.88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2382.47+301.81+1510.02+136.28+1783.5+1951.26</f>
        <v>8065.3399999999992</v>
      </c>
      <c r="G320" s="18">
        <f>178.85+22.01+107.53+10+128.56+269.78</f>
        <v>716.73</v>
      </c>
      <c r="H320" s="18">
        <f>491.11+285.18+2137.5+877.37+3202.33+138.38</f>
        <v>7131.87</v>
      </c>
      <c r="I320" s="18">
        <f>2.51+56.37+121.31+1395.8+484.01</f>
        <v>2060</v>
      </c>
      <c r="J320" s="18"/>
      <c r="K320" s="18"/>
      <c r="L320" s="19">
        <f t="shared" si="16"/>
        <v>17973.939999999999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f>943.23+384.98</f>
        <v>1328.21</v>
      </c>
      <c r="G321" s="18">
        <f>71.57+28.52</f>
        <v>100.08999999999999</v>
      </c>
      <c r="H321" s="18"/>
      <c r="I321" s="18"/>
      <c r="J321" s="18"/>
      <c r="K321" s="18"/>
      <c r="L321" s="19">
        <f t="shared" si="16"/>
        <v>1428.3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>
        <f>7108.48</f>
        <v>7108.48</v>
      </c>
      <c r="J324" s="18"/>
      <c r="K324" s="18"/>
      <c r="L324" s="19">
        <f t="shared" si="16"/>
        <v>7108.48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59649.499999999993</v>
      </c>
      <c r="G328" s="42">
        <f t="shared" si="17"/>
        <v>4622.51</v>
      </c>
      <c r="H328" s="42">
        <f t="shared" si="17"/>
        <v>7131.87</v>
      </c>
      <c r="I328" s="42">
        <f t="shared" si="17"/>
        <v>29527.439999999999</v>
      </c>
      <c r="J328" s="42">
        <f t="shared" si="17"/>
        <v>7228.25</v>
      </c>
      <c r="K328" s="42">
        <f t="shared" si="17"/>
        <v>0</v>
      </c>
      <c r="L328" s="41">
        <f t="shared" si="17"/>
        <v>108159.57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306970.56</v>
      </c>
      <c r="G338" s="41">
        <f t="shared" si="20"/>
        <v>22067.739999999998</v>
      </c>
      <c r="H338" s="41">
        <f t="shared" si="20"/>
        <v>41391.54</v>
      </c>
      <c r="I338" s="41">
        <f t="shared" si="20"/>
        <v>59662</v>
      </c>
      <c r="J338" s="41">
        <f t="shared" si="20"/>
        <v>24925</v>
      </c>
      <c r="K338" s="41">
        <f t="shared" si="20"/>
        <v>0</v>
      </c>
      <c r="L338" s="41">
        <f t="shared" si="20"/>
        <v>455016.84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306970.56</v>
      </c>
      <c r="G352" s="41">
        <f>G338</f>
        <v>22067.739999999998</v>
      </c>
      <c r="H352" s="41">
        <f>H338</f>
        <v>41391.54</v>
      </c>
      <c r="I352" s="41">
        <f>I338</f>
        <v>59662</v>
      </c>
      <c r="J352" s="41">
        <f>J338</f>
        <v>24925</v>
      </c>
      <c r="K352" s="47">
        <f>K338+K351</f>
        <v>0</v>
      </c>
      <c r="L352" s="41">
        <f>L338+L351</f>
        <v>455016.84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2829.75+69353.22</f>
        <v>72182.97</v>
      </c>
      <c r="G358" s="18">
        <f>9775.19+269.46+216.5+5223.96+2945.44+607.11+506.17</f>
        <v>19543.829999999998</v>
      </c>
      <c r="H358" s="18">
        <f>3095.99-1484.26</f>
        <v>1611.7299999999998</v>
      </c>
      <c r="I358" s="18">
        <f>5083.59+145.16+49101.6+1164.98+1116.71-329.14-423.03+11421.41</f>
        <v>67281.279999999999</v>
      </c>
      <c r="J358" s="18">
        <f>2214.8</f>
        <v>2214.8000000000002</v>
      </c>
      <c r="K358" s="18">
        <f>561+294</f>
        <v>855</v>
      </c>
      <c r="L358" s="13">
        <f>SUM(F358:K358)</f>
        <v>163689.60999999999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1270.5+42018.31-0.11</f>
        <v>43288.7</v>
      </c>
      <c r="G359" s="18">
        <f>4056.93+119+97.2+3115.72+3338.52+272.58+227.26</f>
        <v>11227.210000000001</v>
      </c>
      <c r="H359" s="18">
        <f>1390.03</f>
        <v>1390.03</v>
      </c>
      <c r="I359" s="18">
        <f>2183.21+65.18+25845.33+9791.16+523.05+501.38+5127.98</f>
        <v>44037.290000000008</v>
      </c>
      <c r="J359" s="18">
        <f>994.4-220</f>
        <v>774.4</v>
      </c>
      <c r="K359" s="18">
        <f>251.88+132</f>
        <v>383.88</v>
      </c>
      <c r="L359" s="19">
        <f>SUM(F359:K359)</f>
        <v>101101.51000000001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1674.75+53477.84-0.1</f>
        <v>55152.49</v>
      </c>
      <c r="G360" s="18">
        <f>5163.36+151.46+128.13+3965.47+4248.78+359.31+299.57</f>
        <v>14316.08</v>
      </c>
      <c r="H360" s="18">
        <f>1832.32</f>
        <v>1832.32</v>
      </c>
      <c r="I360" s="18">
        <f>2778.63+85.91+32894.06+12461.48+689.48+660.91-586.79+6759.62</f>
        <v>55743.30000000001</v>
      </c>
      <c r="J360" s="18">
        <f>1310.8-780</f>
        <v>530.79999999999995</v>
      </c>
      <c r="K360" s="18">
        <f>332.02+174</f>
        <v>506.02</v>
      </c>
      <c r="L360" s="19">
        <f>SUM(F360:K360)</f>
        <v>128081.01000000001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170624.16</v>
      </c>
      <c r="G362" s="47">
        <f t="shared" si="22"/>
        <v>45087.12</v>
      </c>
      <c r="H362" s="47">
        <f t="shared" si="22"/>
        <v>4834.08</v>
      </c>
      <c r="I362" s="47">
        <f t="shared" si="22"/>
        <v>167061.87000000002</v>
      </c>
      <c r="J362" s="47">
        <f t="shared" si="22"/>
        <v>3520</v>
      </c>
      <c r="K362" s="47">
        <f t="shared" si="22"/>
        <v>1744.9</v>
      </c>
      <c r="L362" s="47">
        <f t="shared" si="22"/>
        <v>392872.13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49101.6-423.03</f>
        <v>48678.57</v>
      </c>
      <c r="G367" s="18">
        <f>25845.33+9791.16</f>
        <v>35636.490000000005</v>
      </c>
      <c r="H367" s="18">
        <f>32894.06+12461.48-586.79</f>
        <v>44768.749999999993</v>
      </c>
      <c r="I367" s="56">
        <f>SUM(F367:H367)</f>
        <v>129083.81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18602.71</v>
      </c>
      <c r="G368" s="63">
        <f>38909.31-35636.49+5127.98</f>
        <v>8400.7999999999993</v>
      </c>
      <c r="H368" s="63">
        <f>49570.47-45355.54+6759.62</f>
        <v>10974.55</v>
      </c>
      <c r="I368" s="56">
        <f>SUM(F368:H368)</f>
        <v>37978.06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67281.279999999999</v>
      </c>
      <c r="G369" s="47">
        <f>SUM(G367:G368)</f>
        <v>44037.290000000008</v>
      </c>
      <c r="H369" s="47">
        <f>SUM(H367:H368)</f>
        <v>55743.299999999988</v>
      </c>
      <c r="I369" s="47">
        <f>SUM(I367:I368)</f>
        <v>167061.87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>
        <v>100000</v>
      </c>
      <c r="H388" s="18">
        <v>1491</v>
      </c>
      <c r="I388" s="18"/>
      <c r="J388" s="24" t="s">
        <v>286</v>
      </c>
      <c r="K388" s="24" t="s">
        <v>286</v>
      </c>
      <c r="L388" s="56">
        <f t="shared" si="25"/>
        <v>101491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1491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101491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50000</v>
      </c>
      <c r="H397" s="18">
        <f>131.68+135.12</f>
        <v>266.8</v>
      </c>
      <c r="I397" s="18"/>
      <c r="J397" s="24" t="s">
        <v>286</v>
      </c>
      <c r="K397" s="24" t="s">
        <v>286</v>
      </c>
      <c r="L397" s="56">
        <f t="shared" si="26"/>
        <v>50266.8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266.8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50266.8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1757.8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151757.79999999999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147954.35999999999</v>
      </c>
      <c r="G440" s="18"/>
      <c r="H440" s="18"/>
      <c r="I440" s="56">
        <f t="shared" si="33"/>
        <v>147954.35999999999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150000</v>
      </c>
      <c r="G441" s="18"/>
      <c r="H441" s="18"/>
      <c r="I441" s="56">
        <f t="shared" si="33"/>
        <v>150000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297954.36</v>
      </c>
      <c r="G446" s="13">
        <f>SUM(G439:G445)</f>
        <v>0</v>
      </c>
      <c r="H446" s="13">
        <f>SUM(H439:H445)</f>
        <v>0</v>
      </c>
      <c r="I446" s="13">
        <f>SUM(I439:I445)</f>
        <v>297954.36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150000</v>
      </c>
      <c r="G454" s="18"/>
      <c r="H454" s="18"/>
      <c r="I454" s="56">
        <f t="shared" ref="I454:I459" si="34">SUM(F454:H454)</f>
        <v>150000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147954.35999999999</v>
      </c>
      <c r="G459" s="18"/>
      <c r="H459" s="18"/>
      <c r="I459" s="56">
        <f t="shared" si="34"/>
        <v>147954.35999999999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297954.36</v>
      </c>
      <c r="G460" s="83">
        <f>SUM(G454:G459)</f>
        <v>0</v>
      </c>
      <c r="H460" s="83">
        <f>SUM(H454:H459)</f>
        <v>0</v>
      </c>
      <c r="I460" s="83">
        <f>SUM(I454:I459)</f>
        <v>297954.36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297954.36</v>
      </c>
      <c r="G461" s="42">
        <f>G452+G460</f>
        <v>0</v>
      </c>
      <c r="H461" s="42">
        <f>H452+H460</f>
        <v>0</v>
      </c>
      <c r="I461" s="42">
        <f>I452+I460</f>
        <v>297954.36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869123.68</v>
      </c>
      <c r="G465" s="18">
        <f>61702.75</f>
        <v>61702.75</v>
      </c>
      <c r="H465" s="18">
        <f>40440.7-12453.86</f>
        <v>27986.839999999997</v>
      </c>
      <c r="I465" s="18"/>
      <c r="J465" s="18">
        <v>146196.56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18015765.43+8055.03</f>
        <v>18023820.460000001</v>
      </c>
      <c r="G468" s="18">
        <f>392373.73+3091.87</f>
        <v>395465.6</v>
      </c>
      <c r="H468" s="18">
        <f>428571.09+15055.89</f>
        <v>443626.98000000004</v>
      </c>
      <c r="I468" s="18"/>
      <c r="J468" s="18">
        <f>1757.8+150000</f>
        <v>151757.79999999999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>
        <v>1100000</v>
      </c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18023820.460000001</v>
      </c>
      <c r="G470" s="53">
        <f>SUM(G468:G469)</f>
        <v>395465.6</v>
      </c>
      <c r="H470" s="53">
        <f>SUM(H468:H469)</f>
        <v>443626.98000000004</v>
      </c>
      <c r="I470" s="53">
        <f>SUM(I468:I469)</f>
        <v>1100000</v>
      </c>
      <c r="J470" s="53">
        <f>SUM(J468:J469)</f>
        <v>151757.79999999999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17812726.760000002</v>
      </c>
      <c r="G472" s="18">
        <v>392872.13</v>
      </c>
      <c r="H472" s="18">
        <v>455016.84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17812726.760000002</v>
      </c>
      <c r="G474" s="53">
        <f>SUM(G472:G473)</f>
        <v>392872.13</v>
      </c>
      <c r="H474" s="53">
        <f>SUM(H472:H473)</f>
        <v>455016.84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1080217.379999999</v>
      </c>
      <c r="G476" s="53">
        <f>(G465+G470)- G474</f>
        <v>64296.219999999972</v>
      </c>
      <c r="H476" s="53">
        <f>(H465+H470)- H474</f>
        <v>16596.98000000004</v>
      </c>
      <c r="I476" s="53">
        <f>(I465+I470)- I474</f>
        <v>1100000</v>
      </c>
      <c r="J476" s="53">
        <f>(J465+J470)- J474</f>
        <v>297954.36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12072350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4.13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6830000</v>
      </c>
      <c r="G495" s="18"/>
      <c r="H495" s="18"/>
      <c r="I495" s="18"/>
      <c r="J495" s="18"/>
      <c r="K495" s="53">
        <f>SUM(F495:J495)</f>
        <v>6830000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635000</v>
      </c>
      <c r="G497" s="18"/>
      <c r="H497" s="18"/>
      <c r="I497" s="18"/>
      <c r="J497" s="18"/>
      <c r="K497" s="53">
        <f t="shared" si="35"/>
        <v>635000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6195000</v>
      </c>
      <c r="G498" s="204"/>
      <c r="H498" s="204"/>
      <c r="I498" s="204"/>
      <c r="J498" s="204"/>
      <c r="K498" s="205">
        <f t="shared" si="35"/>
        <v>6195000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803187.89</v>
      </c>
      <c r="G499" s="18"/>
      <c r="H499" s="18"/>
      <c r="I499" s="18"/>
      <c r="J499" s="18"/>
      <c r="K499" s="53">
        <f t="shared" si="35"/>
        <v>803187.89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6998187.8899999997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6998187.8899999997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665000</v>
      </c>
      <c r="G501" s="204"/>
      <c r="H501" s="204"/>
      <c r="I501" s="204"/>
      <c r="J501" s="204"/>
      <c r="K501" s="205">
        <f t="shared" si="35"/>
        <v>665000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83421.63+119263.13</f>
        <v>202684.76</v>
      </c>
      <c r="G502" s="18"/>
      <c r="H502" s="18"/>
      <c r="I502" s="18"/>
      <c r="J502" s="18"/>
      <c r="K502" s="53">
        <f t="shared" si="35"/>
        <v>202684.76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867684.76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867684.76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781045.41</v>
      </c>
      <c r="G521" s="18">
        <v>402467.06</v>
      </c>
      <c r="H521" s="18">
        <v>14456.08</v>
      </c>
      <c r="I521" s="18">
        <v>9287.9</v>
      </c>
      <c r="J521" s="18">
        <v>1919.81</v>
      </c>
      <c r="K521" s="18"/>
      <c r="L521" s="88">
        <f>SUM(F521:K521)</f>
        <v>1209176.26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345299.6</v>
      </c>
      <c r="G522" s="18">
        <v>161500.67000000001</v>
      </c>
      <c r="H522" s="18">
        <v>59408.36</v>
      </c>
      <c r="I522" s="18">
        <v>3175.4</v>
      </c>
      <c r="J522" s="18">
        <v>308.89999999999998</v>
      </c>
      <c r="K522" s="18"/>
      <c r="L522" s="88">
        <f>SUM(F522:K522)</f>
        <v>569692.93000000005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398283.81</v>
      </c>
      <c r="G523" s="18">
        <v>162797.85999999999</v>
      </c>
      <c r="H523" s="18">
        <v>523597.68</v>
      </c>
      <c r="I523" s="18">
        <v>3696.43</v>
      </c>
      <c r="J523" s="18">
        <v>0</v>
      </c>
      <c r="K523" s="18"/>
      <c r="L523" s="88">
        <f>SUM(F523:K523)</f>
        <v>1088375.7799999998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1524628.82</v>
      </c>
      <c r="G524" s="108">
        <f t="shared" ref="G524:L524" si="36">SUM(G521:G523)</f>
        <v>726765.59</v>
      </c>
      <c r="H524" s="108">
        <f t="shared" si="36"/>
        <v>597462.12</v>
      </c>
      <c r="I524" s="108">
        <f t="shared" si="36"/>
        <v>16159.73</v>
      </c>
      <c r="J524" s="108">
        <f t="shared" si="36"/>
        <v>2228.71</v>
      </c>
      <c r="K524" s="108">
        <f t="shared" si="36"/>
        <v>0</v>
      </c>
      <c r="L524" s="89">
        <f t="shared" si="36"/>
        <v>2867244.9699999997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27917.86+79068.11+59835.37</f>
        <v>166821.34</v>
      </c>
      <c r="G526" s="18">
        <f>20721.57+48625.93+29805.18</f>
        <v>99152.68</v>
      </c>
      <c r="H526" s="18">
        <f>65503.03+218.54+11554.57+21346.04+1559.45</f>
        <v>100181.62999999999</v>
      </c>
      <c r="I526" s="18">
        <f>2214.72+2983.79+25+363.53</f>
        <v>5587.04</v>
      </c>
      <c r="J526" s="18">
        <f>824.95+77.09</f>
        <v>902.04000000000008</v>
      </c>
      <c r="K526" s="18"/>
      <c r="L526" s="88">
        <f>SUM(F526:K526)</f>
        <v>372644.73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12534.55+35499.97+26864.86</f>
        <v>74899.38</v>
      </c>
      <c r="G527" s="18">
        <f>9303.56+21832.05+13381.92</f>
        <v>44517.53</v>
      </c>
      <c r="H527" s="18">
        <f>28601.36+98.12+4753.21+9583.94+1560.37</f>
        <v>44597.000000000007</v>
      </c>
      <c r="I527" s="18">
        <f>994.36+719.33+163.22</f>
        <v>1876.91</v>
      </c>
      <c r="J527" s="18">
        <f>174.1+34.61</f>
        <v>208.70999999999998</v>
      </c>
      <c r="K527" s="18"/>
      <c r="L527" s="88">
        <f>SUM(F527:K527)</f>
        <v>166099.53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16522.82+46795.41+35412.77</f>
        <v>98731</v>
      </c>
      <c r="G528" s="18">
        <f>12263.78+28778.61+17639.8</f>
        <v>58682.19</v>
      </c>
      <c r="H528" s="18">
        <f>44644.49+129.34+8330.25+12633.37+4407.63</f>
        <v>70145.08</v>
      </c>
      <c r="I528" s="18">
        <f>1310.75+915.5+215.15</f>
        <v>2441.4</v>
      </c>
      <c r="J528" s="18">
        <f>221.59+45.62</f>
        <v>267.20999999999998</v>
      </c>
      <c r="K528" s="18"/>
      <c r="L528" s="88">
        <f>SUM(F528:K528)</f>
        <v>230266.88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340451.72</v>
      </c>
      <c r="G529" s="89">
        <f t="shared" ref="G529:L529" si="37">SUM(G526:G528)</f>
        <v>202352.4</v>
      </c>
      <c r="H529" s="89">
        <f t="shared" si="37"/>
        <v>214923.71000000002</v>
      </c>
      <c r="I529" s="89">
        <f t="shared" si="37"/>
        <v>9905.35</v>
      </c>
      <c r="J529" s="89">
        <f t="shared" si="37"/>
        <v>1377.96</v>
      </c>
      <c r="K529" s="89">
        <f t="shared" si="37"/>
        <v>0</v>
      </c>
      <c r="L529" s="89">
        <f t="shared" si="37"/>
        <v>769011.14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89440.38</v>
      </c>
      <c r="G531" s="18">
        <v>47063.13</v>
      </c>
      <c r="H531" s="18">
        <v>5674.92</v>
      </c>
      <c r="I531" s="18">
        <v>1997.34</v>
      </c>
      <c r="J531" s="18"/>
      <c r="K531" s="18">
        <v>509.77</v>
      </c>
      <c r="L531" s="88">
        <f>SUM(F531:K531)</f>
        <v>144685.54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40156.910000000003</v>
      </c>
      <c r="G532" s="18">
        <v>21130.38</v>
      </c>
      <c r="H532" s="18">
        <v>2547.92</v>
      </c>
      <c r="I532" s="18">
        <v>896.77</v>
      </c>
      <c r="J532" s="18"/>
      <c r="K532" s="18">
        <v>228.88</v>
      </c>
      <c r="L532" s="88">
        <f>SUM(F532:K532)</f>
        <v>64960.86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52934.1</v>
      </c>
      <c r="G533" s="18">
        <v>27853.69</v>
      </c>
      <c r="H533" s="18">
        <v>3358.63</v>
      </c>
      <c r="I533" s="18">
        <v>1182.0999999999999</v>
      </c>
      <c r="J533" s="18"/>
      <c r="K533" s="18">
        <v>301.7</v>
      </c>
      <c r="L533" s="88">
        <f>SUM(F533:K533)</f>
        <v>85630.22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182531.39</v>
      </c>
      <c r="G534" s="89">
        <f t="shared" ref="G534:L534" si="38">SUM(G531:G533)</f>
        <v>96047.2</v>
      </c>
      <c r="H534" s="89">
        <f t="shared" si="38"/>
        <v>11581.470000000001</v>
      </c>
      <c r="I534" s="89">
        <f t="shared" si="38"/>
        <v>4076.2099999999996</v>
      </c>
      <c r="J534" s="89">
        <f t="shared" si="38"/>
        <v>0</v>
      </c>
      <c r="K534" s="89">
        <f t="shared" si="38"/>
        <v>1040.3499999999999</v>
      </c>
      <c r="L534" s="89">
        <f t="shared" si="38"/>
        <v>295276.62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f>446.2+135</f>
        <v>581.20000000000005</v>
      </c>
      <c r="I538" s="18"/>
      <c r="J538" s="18"/>
      <c r="K538" s="18"/>
      <c r="L538" s="88">
        <f>SUM(F538:K538)</f>
        <v>581.20000000000005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581.20000000000005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581.20000000000005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f>1763.96+60767.35</f>
        <v>62531.31</v>
      </c>
      <c r="I541" s="18"/>
      <c r="J541" s="18"/>
      <c r="K541" s="18"/>
      <c r="L541" s="88">
        <f>SUM(F541:K541)</f>
        <v>62531.31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f>49371.86+6740.79</f>
        <v>56112.65</v>
      </c>
      <c r="I542" s="18"/>
      <c r="J542" s="18"/>
      <c r="K542" s="18"/>
      <c r="L542" s="88">
        <f>SUM(F542:K542)</f>
        <v>56112.65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f>134824.25+1043.86</f>
        <v>135868.10999999999</v>
      </c>
      <c r="I543" s="18"/>
      <c r="J543" s="18"/>
      <c r="K543" s="18"/>
      <c r="L543" s="88">
        <f>SUM(F543:K543)</f>
        <v>135868.10999999999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254512.06999999998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254512.06999999998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2047611.9300000002</v>
      </c>
      <c r="G545" s="89">
        <f t="shared" ref="G545:L545" si="41">G524+G529+G534+G539+G544</f>
        <v>1025165.19</v>
      </c>
      <c r="H545" s="89">
        <f t="shared" si="41"/>
        <v>1079060.57</v>
      </c>
      <c r="I545" s="89">
        <f t="shared" si="41"/>
        <v>30141.29</v>
      </c>
      <c r="J545" s="89">
        <f t="shared" si="41"/>
        <v>3606.67</v>
      </c>
      <c r="K545" s="89">
        <f t="shared" si="41"/>
        <v>1040.3499999999999</v>
      </c>
      <c r="L545" s="89">
        <f t="shared" si="41"/>
        <v>4186626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1209176.26</v>
      </c>
      <c r="G549" s="87">
        <f>L526</f>
        <v>372644.73</v>
      </c>
      <c r="H549" s="87">
        <f>L531</f>
        <v>144685.54</v>
      </c>
      <c r="I549" s="87">
        <f>L536</f>
        <v>0</v>
      </c>
      <c r="J549" s="87">
        <f>L541</f>
        <v>62531.31</v>
      </c>
      <c r="K549" s="87">
        <f>SUM(F549:J549)</f>
        <v>1789037.84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569692.93000000005</v>
      </c>
      <c r="G550" s="87">
        <f>L527</f>
        <v>166099.53</v>
      </c>
      <c r="H550" s="87">
        <f>L532</f>
        <v>64960.86</v>
      </c>
      <c r="I550" s="87">
        <f>L537</f>
        <v>0</v>
      </c>
      <c r="J550" s="87">
        <f>L542</f>
        <v>56112.65</v>
      </c>
      <c r="K550" s="87">
        <f>SUM(F550:J550)</f>
        <v>856865.97000000009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1088375.7799999998</v>
      </c>
      <c r="G551" s="87">
        <f>L528</f>
        <v>230266.88</v>
      </c>
      <c r="H551" s="87">
        <f>L533</f>
        <v>85630.22</v>
      </c>
      <c r="I551" s="87">
        <f>L538</f>
        <v>581.20000000000005</v>
      </c>
      <c r="J551" s="87">
        <f>L543</f>
        <v>135868.10999999999</v>
      </c>
      <c r="K551" s="87">
        <f>SUM(F551:J551)</f>
        <v>1540722.1899999995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2867244.9699999997</v>
      </c>
      <c r="G552" s="89">
        <f t="shared" si="42"/>
        <v>769011.14</v>
      </c>
      <c r="H552" s="89">
        <f t="shared" si="42"/>
        <v>295276.62</v>
      </c>
      <c r="I552" s="89">
        <f t="shared" si="42"/>
        <v>581.20000000000005</v>
      </c>
      <c r="J552" s="89">
        <f t="shared" si="42"/>
        <v>254512.06999999998</v>
      </c>
      <c r="K552" s="89">
        <f t="shared" si="42"/>
        <v>4186625.9999999995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f>48026.7*0.52</f>
        <v>24973.883999999998</v>
      </c>
      <c r="G562" s="18">
        <f>30841.9*0.52</f>
        <v>16037.788</v>
      </c>
      <c r="H562" s="18"/>
      <c r="I562" s="18">
        <f>403.07*0.52</f>
        <v>209.59640000000002</v>
      </c>
      <c r="J562" s="18"/>
      <c r="K562" s="18"/>
      <c r="L562" s="88">
        <f>SUM(F562:K562)</f>
        <v>41221.268400000001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f>48026.7*0.17</f>
        <v>8164.5389999999998</v>
      </c>
      <c r="G563" s="18">
        <f>30841.9*0.17</f>
        <v>5243.1230000000005</v>
      </c>
      <c r="H563" s="18"/>
      <c r="I563" s="18">
        <f>403.07*0.17</f>
        <v>68.521900000000002</v>
      </c>
      <c r="J563" s="18"/>
      <c r="K563" s="18"/>
      <c r="L563" s="88">
        <f>SUM(F563:K563)</f>
        <v>13476.1839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f>48026.7*0.31</f>
        <v>14888.276999999998</v>
      </c>
      <c r="G564" s="18">
        <f>30841.9*0.31</f>
        <v>9560.9889999999996</v>
      </c>
      <c r="H564" s="18"/>
      <c r="I564" s="18">
        <f>403.07*0.31</f>
        <v>124.9517</v>
      </c>
      <c r="J564" s="18"/>
      <c r="K564" s="18"/>
      <c r="L564" s="88">
        <f>SUM(F564:K564)</f>
        <v>24574.217699999997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48026.7</v>
      </c>
      <c r="G565" s="89">
        <f t="shared" si="44"/>
        <v>30841.9</v>
      </c>
      <c r="H565" s="89">
        <f t="shared" si="44"/>
        <v>0</v>
      </c>
      <c r="I565" s="89">
        <f t="shared" si="44"/>
        <v>403.07000000000005</v>
      </c>
      <c r="J565" s="89">
        <f t="shared" si="44"/>
        <v>0</v>
      </c>
      <c r="K565" s="89">
        <f t="shared" si="44"/>
        <v>0</v>
      </c>
      <c r="L565" s="89">
        <f t="shared" si="44"/>
        <v>79271.67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48026.7</v>
      </c>
      <c r="G571" s="89">
        <f t="shared" ref="G571:L571" si="46">G560+G565+G570</f>
        <v>30841.9</v>
      </c>
      <c r="H571" s="89">
        <f t="shared" si="46"/>
        <v>0</v>
      </c>
      <c r="I571" s="89">
        <f t="shared" si="46"/>
        <v>403.07000000000005</v>
      </c>
      <c r="J571" s="89">
        <f t="shared" si="46"/>
        <v>0</v>
      </c>
      <c r="K571" s="89">
        <f t="shared" si="46"/>
        <v>0</v>
      </c>
      <c r="L571" s="89">
        <f t="shared" si="46"/>
        <v>79271.67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77171.039999999994</v>
      </c>
      <c r="I579" s="87">
        <f t="shared" si="47"/>
        <v>77171.039999999994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98383.2</v>
      </c>
      <c r="I580" s="87">
        <f t="shared" si="47"/>
        <v>98383.2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10376.08</v>
      </c>
      <c r="G582" s="18">
        <v>39200.01</v>
      </c>
      <c r="H582" s="18">
        <f>50128.35+50128.35+46055.19+34792.8</f>
        <v>181104.69</v>
      </c>
      <c r="I582" s="87">
        <f t="shared" si="47"/>
        <v>230680.78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130753</v>
      </c>
      <c r="I584" s="87">
        <f t="shared" si="47"/>
        <v>130753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293973*0.49</f>
        <v>144046.76999999999</v>
      </c>
      <c r="I591" s="18">
        <f>64674.06</f>
        <v>64674.06</v>
      </c>
      <c r="J591" s="18">
        <f>85252.17</f>
        <v>85252.17</v>
      </c>
      <c r="K591" s="104">
        <f t="shared" ref="K591:K597" si="48">SUM(H591:J591)</f>
        <v>293973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60767.35+1763.96</f>
        <v>62531.31</v>
      </c>
      <c r="I592" s="18">
        <f>49371.86+6740.79</f>
        <v>56112.65</v>
      </c>
      <c r="J592" s="18">
        <f>134824.25+1043.86</f>
        <v>135868.10999999999</v>
      </c>
      <c r="K592" s="104">
        <f t="shared" si="48"/>
        <v>254512.06999999998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51802.17</v>
      </c>
      <c r="K593" s="104">
        <f t="shared" si="48"/>
        <v>51802.17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11193.04</v>
      </c>
      <c r="J594" s="18">
        <v>29124.52</v>
      </c>
      <c r="K594" s="104">
        <f t="shared" si="48"/>
        <v>40317.56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>
        <v>1548.84</v>
      </c>
      <c r="J595" s="18">
        <v>3162.01</v>
      </c>
      <c r="K595" s="104">
        <f t="shared" si="48"/>
        <v>4710.8500000000004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206578.08</v>
      </c>
      <c r="I598" s="108">
        <f>SUM(I591:I597)</f>
        <v>133528.59</v>
      </c>
      <c r="J598" s="108">
        <f>SUM(J591:J597)</f>
        <v>305208.98</v>
      </c>
      <c r="K598" s="108">
        <f>SUM(K591:K597)</f>
        <v>645315.65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117636.23+1112.96</f>
        <v>118749.19</v>
      </c>
      <c r="I604" s="18">
        <f>65857.19-1668</f>
        <v>64189.19</v>
      </c>
      <c r="J604" s="18">
        <f>139233.29-39.95-4607-5511.54</f>
        <v>129074.8</v>
      </c>
      <c r="K604" s="104">
        <f>SUM(H604:J604)</f>
        <v>312013.18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118749.19</v>
      </c>
      <c r="I605" s="108">
        <f>SUM(I602:I604)</f>
        <v>64189.19</v>
      </c>
      <c r="J605" s="108">
        <f>SUM(J602:J604)</f>
        <v>129074.8</v>
      </c>
      <c r="K605" s="108">
        <f>SUM(K602:K604)</f>
        <v>312013.18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61755.94+105</f>
        <v>61860.94</v>
      </c>
      <c r="G611" s="18">
        <f>4724.33+8.04</f>
        <v>4732.37</v>
      </c>
      <c r="H611" s="18"/>
      <c r="I611" s="18">
        <v>5.82</v>
      </c>
      <c r="J611" s="18"/>
      <c r="K611" s="18"/>
      <c r="L611" s="88">
        <f>SUM(F611:K611)</f>
        <v>66599.13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4760</v>
      </c>
      <c r="G612" s="18">
        <v>364.14</v>
      </c>
      <c r="H612" s="18"/>
      <c r="I612" s="18"/>
      <c r="J612" s="18"/>
      <c r="K612" s="18"/>
      <c r="L612" s="88">
        <f>SUM(F612:K612)</f>
        <v>5124.1400000000003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7700</v>
      </c>
      <c r="G613" s="18">
        <v>589.04999999999995</v>
      </c>
      <c r="H613" s="18"/>
      <c r="I613" s="18"/>
      <c r="J613" s="18"/>
      <c r="K613" s="18"/>
      <c r="L613" s="88">
        <f>SUM(F613:K613)</f>
        <v>8289.0499999999993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74320.94</v>
      </c>
      <c r="G614" s="108">
        <f t="shared" si="49"/>
        <v>5685.56</v>
      </c>
      <c r="H614" s="108">
        <f t="shared" si="49"/>
        <v>0</v>
      </c>
      <c r="I614" s="108">
        <f t="shared" si="49"/>
        <v>5.82</v>
      </c>
      <c r="J614" s="108">
        <f t="shared" si="49"/>
        <v>0</v>
      </c>
      <c r="K614" s="108">
        <f t="shared" si="49"/>
        <v>0</v>
      </c>
      <c r="L614" s="89">
        <f t="shared" si="49"/>
        <v>80012.320000000007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2740451.2800000003</v>
      </c>
      <c r="H617" s="109">
        <f>SUM(F52)</f>
        <v>2740451.2800000003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152333.09000000003</v>
      </c>
      <c r="H618" s="109">
        <f>SUM(G52)</f>
        <v>152333.09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231261.74</v>
      </c>
      <c r="H619" s="109">
        <f>SUM(H52)</f>
        <v>231261.74000000002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1100000</v>
      </c>
      <c r="H620" s="109">
        <f>SUM(I52)</f>
        <v>1100000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297954.36</v>
      </c>
      <c r="H621" s="109">
        <f>SUM(J52)</f>
        <v>297954.36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1080217.3799999999</v>
      </c>
      <c r="H622" s="109">
        <f>F476</f>
        <v>1080217.379999999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64296.22</v>
      </c>
      <c r="H623" s="109">
        <f>G476</f>
        <v>64296.219999999972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16596.98</v>
      </c>
      <c r="H624" s="109">
        <f>H476</f>
        <v>16596.98000000004</v>
      </c>
      <c r="I624" s="121" t="s">
        <v>103</v>
      </c>
      <c r="J624" s="109">
        <f t="shared" si="50"/>
        <v>-4.0017766878008842E-11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1100000</v>
      </c>
      <c r="H625" s="109">
        <f>I476</f>
        <v>1100000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297954.36</v>
      </c>
      <c r="H626" s="109">
        <f>J476</f>
        <v>297954.36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18023820.460000001</v>
      </c>
      <c r="H627" s="104">
        <f>SUM(F468)</f>
        <v>18023820.460000001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395465.6</v>
      </c>
      <c r="H628" s="104">
        <f>SUM(G468)</f>
        <v>395465.6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443626.98000000004</v>
      </c>
      <c r="H629" s="104">
        <f>SUM(H468)</f>
        <v>443626.98000000004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151757.79999999999</v>
      </c>
      <c r="H631" s="104">
        <f>SUM(J468)</f>
        <v>151757.79999999999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17812726.760000002</v>
      </c>
      <c r="H632" s="104">
        <f>SUM(F472)</f>
        <v>17812726.760000002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455016.84</v>
      </c>
      <c r="H633" s="104">
        <f>SUM(H472)</f>
        <v>455016.84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167061.87000000002</v>
      </c>
      <c r="H634" s="104">
        <f>I369</f>
        <v>167061.87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392872.13</v>
      </c>
      <c r="H635" s="104">
        <f>SUM(G472)</f>
        <v>392872.13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151757.79999999999</v>
      </c>
      <c r="H637" s="164">
        <f>SUM(J468)</f>
        <v>151757.79999999999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297954.36</v>
      </c>
      <c r="H639" s="104">
        <f>SUM(F461)</f>
        <v>297954.36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297954.36</v>
      </c>
      <c r="H642" s="104">
        <f>SUM(I461)</f>
        <v>297954.36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1757.8</v>
      </c>
      <c r="H644" s="104">
        <f>H408</f>
        <v>1757.8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150000</v>
      </c>
      <c r="H645" s="104">
        <f>G408</f>
        <v>150000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151757.79999999999</v>
      </c>
      <c r="H646" s="104">
        <f>L408</f>
        <v>151757.79999999999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645315.65</v>
      </c>
      <c r="H647" s="104">
        <f>L208+L226+L244</f>
        <v>645315.64999999991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312013.18</v>
      </c>
      <c r="H648" s="104">
        <f>(J257+J338)-(J255+J336)</f>
        <v>312013.18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206578.08</v>
      </c>
      <c r="H649" s="104">
        <f>H598</f>
        <v>206578.08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133528.59</v>
      </c>
      <c r="H650" s="104">
        <f>I598</f>
        <v>133528.59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305208.98</v>
      </c>
      <c r="H651" s="104">
        <f>J598</f>
        <v>305208.98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3091.87</v>
      </c>
      <c r="H652" s="104">
        <f>K263+K345</f>
        <v>3091.87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150000</v>
      </c>
      <c r="H655" s="104">
        <f>K266+K347</f>
        <v>150000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7532446.1700000018</v>
      </c>
      <c r="G660" s="19">
        <f>(L229+L309+L359)</f>
        <v>3890829.8499999996</v>
      </c>
      <c r="H660" s="19">
        <f>(L247+L328+L360)</f>
        <v>6180659.5800000001</v>
      </c>
      <c r="I660" s="19">
        <f>SUM(F660:H660)</f>
        <v>17603935.600000001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98014.917138184872</v>
      </c>
      <c r="G661" s="19">
        <f>(L359/IF(SUM(L358:L360)=0,1,SUM(L358:L360))*(SUM(G97:G110)))</f>
        <v>60538.088674017687</v>
      </c>
      <c r="H661" s="19">
        <f>(L360/IF(SUM(L358:L360)=0,1,SUM(L358:L360))*(SUM(G97:G110)))</f>
        <v>76693.014187797438</v>
      </c>
      <c r="I661" s="19">
        <f>SUM(F661:H661)</f>
        <v>235246.02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208972.08</v>
      </c>
      <c r="G662" s="19">
        <f>(L226+L306)-(J226+J306)</f>
        <v>133528.59</v>
      </c>
      <c r="H662" s="19">
        <f>(L244+L325)-(J244+J325)</f>
        <v>305208.98</v>
      </c>
      <c r="I662" s="19">
        <f>SUM(F662:H662)</f>
        <v>647709.64999999991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195724.40000000002</v>
      </c>
      <c r="G663" s="199">
        <f>SUM(G575:G587)+SUM(I602:I604)+L612</f>
        <v>108513.34000000001</v>
      </c>
      <c r="H663" s="199">
        <f>SUM(H575:H587)+SUM(J602:J604)+L613</f>
        <v>624775.78</v>
      </c>
      <c r="I663" s="19">
        <f>SUM(F663:H663)</f>
        <v>929013.52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7029734.7728618169</v>
      </c>
      <c r="G664" s="19">
        <f>G660-SUM(G661:G663)</f>
        <v>3588249.8313259818</v>
      </c>
      <c r="H664" s="19">
        <f>H660-SUM(H661:H663)</f>
        <v>5173981.8058122024</v>
      </c>
      <c r="I664" s="19">
        <f>I660-SUM(I661:I663)</f>
        <v>15791966.410000002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466.21</v>
      </c>
      <c r="G665" s="248">
        <v>213.28</v>
      </c>
      <c r="H665" s="248">
        <v>277.52</v>
      </c>
      <c r="I665" s="19">
        <f>SUM(F665:H665)</f>
        <v>957.01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15078.47</v>
      </c>
      <c r="G667" s="19">
        <f>ROUND(G664/G665,2)</f>
        <v>16824.13</v>
      </c>
      <c r="H667" s="19">
        <f>ROUND(H664/H665,2)</f>
        <v>18643.64</v>
      </c>
      <c r="I667" s="19">
        <f>ROUND(I664/I665,2)</f>
        <v>16501.36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-16.89</v>
      </c>
      <c r="I670" s="19">
        <f>SUM(F670:H670)</f>
        <v>-16.89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15078.47</v>
      </c>
      <c r="G672" s="19">
        <f>ROUND((G664+G669)/(G665+G670),2)</f>
        <v>16824.13</v>
      </c>
      <c r="H672" s="19">
        <f>ROUND((H664+H669)/(H665+H670),2)</f>
        <v>19851.830000000002</v>
      </c>
      <c r="I672" s="19">
        <f>ROUND((I664+I669)/(I665+I670),2)</f>
        <v>16797.82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2" sqref="B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Epping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4268546.05</v>
      </c>
      <c r="C9" s="229">
        <f>'DOE25'!G197+'DOE25'!G215+'DOE25'!G233+'DOE25'!G276+'DOE25'!G295+'DOE25'!G314</f>
        <v>2211050.81</v>
      </c>
    </row>
    <row r="10" spans="1:3" x14ac:dyDescent="0.2">
      <c r="A10" t="s">
        <v>773</v>
      </c>
      <c r="B10" s="240">
        <f>40565+1410990.51+222504.62+920326.25+1303356.14+8155+104935.09+525+37784.96</f>
        <v>4049142.5699999994</v>
      </c>
      <c r="C10" s="240">
        <f>1200+387704.05+73437.41+266900.04+382070.39+691.61+16250.15+2077.92+9624.1+15464.44+246893.92+39890.02+127122.18+218539.81+289855.77+2990.48+3521.84+7375.54+93307.87</f>
        <v>2184917.54</v>
      </c>
    </row>
    <row r="11" spans="1:3" x14ac:dyDescent="0.2">
      <c r="A11" t="s">
        <v>774</v>
      </c>
      <c r="B11" s="240">
        <f>78100.11+20273.2</f>
        <v>98373.31</v>
      </c>
      <c r="C11" s="240">
        <f>7525.56+1311.07+2942.03+5000</f>
        <v>16778.660000000003</v>
      </c>
    </row>
    <row r="12" spans="1:3" x14ac:dyDescent="0.2">
      <c r="A12" t="s">
        <v>775</v>
      </c>
      <c r="B12" s="240">
        <f>62706.68+28404.36+31171.37-1252.24</f>
        <v>121030.17</v>
      </c>
      <c r="C12" s="240">
        <v>9354.61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4268546.05</v>
      </c>
      <c r="C13" s="231">
        <f>SUM(C10:C12)</f>
        <v>2211050.81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1672019.3699999999</v>
      </c>
      <c r="C18" s="229">
        <f>'DOE25'!G198+'DOE25'!G216+'DOE25'!G234+'DOE25'!G277+'DOE25'!G296+'DOE25'!G315</f>
        <v>764720.03</v>
      </c>
    </row>
    <row r="19" spans="1:3" x14ac:dyDescent="0.2">
      <c r="A19" t="s">
        <v>773</v>
      </c>
      <c r="B19" s="240">
        <f>61755.94+318510+95871.87+146465.28+280460.29+46143+50637+6758.79+31986+8557.07</f>
        <v>1047145.2399999999</v>
      </c>
      <c r="C19" s="240">
        <f>187682.72+76636.77+95784.67+102728.87+3406.67+1923.36+2097.4+2946.58+592.32+56182.66+18791.18+37753.31+28731.78+63395.35+30841.9+7112.54</f>
        <v>716608.08000000007</v>
      </c>
    </row>
    <row r="20" spans="1:3" x14ac:dyDescent="0.2">
      <c r="A20" t="s">
        <v>774</v>
      </c>
      <c r="B20" s="240">
        <f>269286.11+56517.37+180488.99+93641.04+1883.7</f>
        <v>601817.21</v>
      </c>
      <c r="C20" s="240">
        <f>309.07+46039.02</f>
        <v>46348.09</v>
      </c>
    </row>
    <row r="21" spans="1:3" x14ac:dyDescent="0.2">
      <c r="A21" t="s">
        <v>775</v>
      </c>
      <c r="B21" s="240">
        <f>21631.93+1424.99</f>
        <v>23056.920000000002</v>
      </c>
      <c r="C21" s="240">
        <v>1763.86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1672019.3699999996</v>
      </c>
      <c r="C22" s="231">
        <f>SUM(C19:C21)</f>
        <v>764720.03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219354.97999999998</v>
      </c>
      <c r="C36" s="235">
        <f>'DOE25'!G200+'DOE25'!G218+'DOE25'!G236+'DOE25'!G279+'DOE25'!G298+'DOE25'!G317</f>
        <v>29524.980000000003</v>
      </c>
    </row>
    <row r="37" spans="1:3" x14ac:dyDescent="0.2">
      <c r="A37" t="s">
        <v>773</v>
      </c>
      <c r="B37" s="240">
        <f>15712.36+11366.5+4760+32476.5+7700+19303+54832+69509.62</f>
        <v>215659.97999999998</v>
      </c>
      <c r="C37" s="240">
        <f>5191.48+521.37+106.71+383.56+201.06+273.58+9309.15+1533.83+1462.93+4002.69+5438.89</f>
        <v>28425.249999999996</v>
      </c>
    </row>
    <row r="38" spans="1:3" x14ac:dyDescent="0.2">
      <c r="A38" t="s">
        <v>774</v>
      </c>
      <c r="B38" s="240">
        <f>1780</f>
        <v>1780</v>
      </c>
      <c r="C38" s="240">
        <f>515.8+4.26+284.51+5.67+136.17+6.82</f>
        <v>953.2299999999999</v>
      </c>
    </row>
    <row r="39" spans="1:3" x14ac:dyDescent="0.2">
      <c r="A39" t="s">
        <v>775</v>
      </c>
      <c r="B39" s="240">
        <f>1915</f>
        <v>1915</v>
      </c>
      <c r="C39" s="240">
        <f>146.5</f>
        <v>146.5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219354.97999999998</v>
      </c>
      <c r="C40" s="231">
        <f>SUM(C37:C39)</f>
        <v>29524.979999999996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Epping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10035678.83</v>
      </c>
      <c r="D5" s="20">
        <f>SUM('DOE25'!L197:L200)+SUM('DOE25'!L215:L218)+SUM('DOE25'!L233:L236)-F5-G5</f>
        <v>9942252.4199999999</v>
      </c>
      <c r="E5" s="243"/>
      <c r="F5" s="255">
        <f>SUM('DOE25'!J197:J200)+SUM('DOE25'!J215:J218)+SUM('DOE25'!J233:J236)</f>
        <v>81513.260000000009</v>
      </c>
      <c r="G5" s="53">
        <f>SUM('DOE25'!K197:K200)+SUM('DOE25'!K215:K218)+SUM('DOE25'!K233:K236)</f>
        <v>11913.15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1458612.57</v>
      </c>
      <c r="D6" s="20">
        <f>'DOE25'!L202+'DOE25'!L220+'DOE25'!L238-F6-G6</f>
        <v>1454620.9300000002</v>
      </c>
      <c r="E6" s="243"/>
      <c r="F6" s="255">
        <f>'DOE25'!J202+'DOE25'!J220+'DOE25'!J238</f>
        <v>3991.64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887298.11</v>
      </c>
      <c r="D7" s="20">
        <f>'DOE25'!L203+'DOE25'!L221+'DOE25'!L239-F7-G7</f>
        <v>696130.7</v>
      </c>
      <c r="E7" s="243"/>
      <c r="F7" s="255">
        <f>'DOE25'!J203+'DOE25'!J221+'DOE25'!J239</f>
        <v>190867.41</v>
      </c>
      <c r="G7" s="53">
        <f>'DOE25'!K203+'DOE25'!K221+'DOE25'!K239</f>
        <v>300</v>
      </c>
      <c r="H7" s="259"/>
    </row>
    <row r="8" spans="1:9" x14ac:dyDescent="0.2">
      <c r="A8" s="32">
        <v>2300</v>
      </c>
      <c r="B8" t="s">
        <v>796</v>
      </c>
      <c r="C8" s="245">
        <f t="shared" si="0"/>
        <v>570354.96000000008</v>
      </c>
      <c r="D8" s="243"/>
      <c r="E8" s="20">
        <f>'DOE25'!L204+'DOE25'!L222+'DOE25'!L240-F8-G8-D9-D11</f>
        <v>560760.85000000009</v>
      </c>
      <c r="F8" s="255">
        <f>'DOE25'!J204+'DOE25'!J222+'DOE25'!J240</f>
        <v>0</v>
      </c>
      <c r="G8" s="53">
        <f>'DOE25'!K204+'DOE25'!K222+'DOE25'!K240</f>
        <v>9594.11</v>
      </c>
      <c r="H8" s="259"/>
    </row>
    <row r="9" spans="1:9" x14ac:dyDescent="0.2">
      <c r="A9" s="32">
        <v>2310</v>
      </c>
      <c r="B9" t="s">
        <v>812</v>
      </c>
      <c r="C9" s="245">
        <f t="shared" si="0"/>
        <v>65890.19</v>
      </c>
      <c r="D9" s="244">
        <v>65890.19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9400</v>
      </c>
      <c r="D10" s="243"/>
      <c r="E10" s="244">
        <v>9400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246691.52000000002</v>
      </c>
      <c r="D11" s="244">
        <f>122004+3600+49670.7+43008.4+28408.42</f>
        <v>246691.52000000002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1122313.5900000001</v>
      </c>
      <c r="D12" s="20">
        <f>'DOE25'!L205+'DOE25'!L223+'DOE25'!L241-F12-G12</f>
        <v>1097053.7800000003</v>
      </c>
      <c r="E12" s="243"/>
      <c r="F12" s="255">
        <f>'DOE25'!J205+'DOE25'!J223+'DOE25'!J241</f>
        <v>1262.1400000000001</v>
      </c>
      <c r="G12" s="53">
        <f>'DOE25'!K205+'DOE25'!K223+'DOE25'!K241</f>
        <v>23997.67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1723891.21</v>
      </c>
      <c r="D14" s="20">
        <f>'DOE25'!L207+'DOE25'!L225+'DOE25'!L243-F14-G14</f>
        <v>1714437.48</v>
      </c>
      <c r="E14" s="243"/>
      <c r="F14" s="255">
        <f>'DOE25'!J207+'DOE25'!J225+'DOE25'!J243</f>
        <v>9453.73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645315.64999999991</v>
      </c>
      <c r="D15" s="20">
        <f>'DOE25'!L208+'DOE25'!L226+'DOE25'!L244-F15-G15</f>
        <v>645315.64999999991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903588.26</v>
      </c>
      <c r="D25" s="243"/>
      <c r="E25" s="243"/>
      <c r="F25" s="258"/>
      <c r="G25" s="256"/>
      <c r="H25" s="257">
        <f>'DOE25'!L260+'DOE25'!L261+'DOE25'!L341+'DOE25'!L342</f>
        <v>903588.26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263788.32</v>
      </c>
      <c r="D29" s="20">
        <f>'DOE25'!L358+'DOE25'!L359+'DOE25'!L360-'DOE25'!I367-F29-G29</f>
        <v>258523.42</v>
      </c>
      <c r="E29" s="243"/>
      <c r="F29" s="255">
        <f>'DOE25'!J358+'DOE25'!J359+'DOE25'!J360</f>
        <v>3520</v>
      </c>
      <c r="G29" s="53">
        <f>'DOE25'!K358+'DOE25'!K359+'DOE25'!K360</f>
        <v>1744.9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455016.84</v>
      </c>
      <c r="D31" s="20">
        <f>'DOE25'!L290+'DOE25'!L309+'DOE25'!L328+'DOE25'!L333+'DOE25'!L334+'DOE25'!L335-F31-G31</f>
        <v>430091.84</v>
      </c>
      <c r="E31" s="243"/>
      <c r="F31" s="255">
        <f>'DOE25'!J290+'DOE25'!J309+'DOE25'!J328+'DOE25'!J333+'DOE25'!J334+'DOE25'!J335</f>
        <v>24925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16551007.93</v>
      </c>
      <c r="E33" s="246">
        <f>SUM(E5:E31)</f>
        <v>570160.85000000009</v>
      </c>
      <c r="F33" s="246">
        <f>SUM(F5:F31)</f>
        <v>315533.18</v>
      </c>
      <c r="G33" s="246">
        <f>SUM(G5:G31)</f>
        <v>47549.83</v>
      </c>
      <c r="H33" s="246">
        <f>SUM(H5:H31)</f>
        <v>903588.26</v>
      </c>
    </row>
    <row r="35" spans="2:8" ht="12" thickBot="1" x14ac:dyDescent="0.25">
      <c r="B35" s="253" t="s">
        <v>841</v>
      </c>
      <c r="D35" s="254">
        <f>E33</f>
        <v>570160.85000000009</v>
      </c>
      <c r="E35" s="249"/>
    </row>
    <row r="36" spans="2:8" ht="12" thickTop="1" x14ac:dyDescent="0.2">
      <c r="B36" t="s">
        <v>809</v>
      </c>
      <c r="D36" s="20">
        <f>D33</f>
        <v>16551007.93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24" activePane="bottomLeft" state="frozen"/>
      <selection activeCell="F46" sqref="F46"/>
      <selection pane="bottomLeft" activeCell="D126" sqref="D12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Epping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2478301.3899999997</v>
      </c>
      <c r="D8" s="95">
        <f>'DOE25'!G9</f>
        <v>56649.72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147954.35999999999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211779.22</v>
      </c>
      <c r="D11" s="95">
        <f>'DOE25'!G12</f>
        <v>72211.740000000005</v>
      </c>
      <c r="E11" s="95">
        <f>'DOE25'!H12</f>
        <v>111303.34</v>
      </c>
      <c r="F11" s="95">
        <f>'DOE25'!I12</f>
        <v>1100000</v>
      </c>
      <c r="G11" s="95">
        <f>'DOE25'!J12</f>
        <v>150000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7389.2</v>
      </c>
      <c r="D12" s="95">
        <f>'DOE25'!G13</f>
        <v>10937.05</v>
      </c>
      <c r="E12" s="95">
        <f>'DOE25'!H13</f>
        <v>119958.39999999999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934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19377.79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42981.47</v>
      </c>
      <c r="D16" s="95">
        <f>'DOE25'!G17</f>
        <v>1908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-9685.2099999999991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2740451.2800000003</v>
      </c>
      <c r="D18" s="41">
        <f>SUM(D8:D17)</f>
        <v>152333.09000000003</v>
      </c>
      <c r="E18" s="41">
        <f>SUM(E8:E17)</f>
        <v>231261.74</v>
      </c>
      <c r="F18" s="41">
        <f>SUM(F8:F17)</f>
        <v>1100000</v>
      </c>
      <c r="G18" s="41">
        <f>SUM(G8:G17)</f>
        <v>297954.36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1172211.74</v>
      </c>
      <c r="D21" s="95">
        <f>'DOE25'!G22</f>
        <v>84977.29</v>
      </c>
      <c r="E21" s="95">
        <f>'DOE25'!H22</f>
        <v>210390.47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99404.3</v>
      </c>
      <c r="D23" s="95">
        <f>'DOE25'!G24</f>
        <v>1345.98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31597.489999999998</v>
      </c>
      <c r="D27" s="95">
        <f>'DOE25'!G28</f>
        <v>1510.96</v>
      </c>
      <c r="E27" s="95">
        <f>'DOE25'!H28</f>
        <v>4274.29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333562.75999999995</v>
      </c>
      <c r="D28" s="95">
        <f>'DOE25'!G29</f>
        <v>202.64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23457.61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1660233.9000000001</v>
      </c>
      <c r="D31" s="41">
        <f>SUM(D21:D30)</f>
        <v>88036.87</v>
      </c>
      <c r="E31" s="41">
        <f>SUM(E21:E30)</f>
        <v>214664.76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21285.79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42981.47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43010.43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-23457.61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200000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45660.67</v>
      </c>
      <c r="D47" s="95">
        <f>'DOE25'!G48</f>
        <v>0</v>
      </c>
      <c r="E47" s="95">
        <f>'DOE25'!H48</f>
        <v>16596.98</v>
      </c>
      <c r="F47" s="95">
        <f>'DOE25'!I48</f>
        <v>1100000</v>
      </c>
      <c r="G47" s="95">
        <f>'DOE25'!J48</f>
        <v>147954.35999999999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150000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565032.85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1080217.3799999999</v>
      </c>
      <c r="D50" s="41">
        <f>SUM(D34:D49)</f>
        <v>64296.22</v>
      </c>
      <c r="E50" s="41">
        <f>SUM(E34:E49)</f>
        <v>16596.98</v>
      </c>
      <c r="F50" s="41">
        <f>SUM(F34:F49)</f>
        <v>1100000</v>
      </c>
      <c r="G50" s="41">
        <f>SUM(G34:G49)</f>
        <v>297954.36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2740451.2800000003</v>
      </c>
      <c r="D51" s="41">
        <f>D50+D31</f>
        <v>152333.09</v>
      </c>
      <c r="E51" s="41">
        <f>E50+E31</f>
        <v>231261.74000000002</v>
      </c>
      <c r="F51" s="41">
        <f>F50+F31</f>
        <v>1100000</v>
      </c>
      <c r="G51" s="41">
        <f>G50+G31</f>
        <v>297954.36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12277502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57266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2792.81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1757.8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235246.02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158323.76999999999</v>
      </c>
      <c r="D61" s="95">
        <f>SUM('DOE25'!G98:G110)</f>
        <v>0</v>
      </c>
      <c r="E61" s="95">
        <f>SUM('DOE25'!H98:H110)</f>
        <v>15055.89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218382.58</v>
      </c>
      <c r="D62" s="130">
        <f>SUM(D57:D61)</f>
        <v>235246.02</v>
      </c>
      <c r="E62" s="130">
        <f>SUM(E57:E61)</f>
        <v>15055.89</v>
      </c>
      <c r="F62" s="130">
        <f>SUM(F57:F61)</f>
        <v>0</v>
      </c>
      <c r="G62" s="130">
        <f>SUM(G57:G61)</f>
        <v>1757.8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12495884.58</v>
      </c>
      <c r="D63" s="22">
        <f>D56+D62</f>
        <v>235246.02</v>
      </c>
      <c r="E63" s="22">
        <f>E56+E62</f>
        <v>15055.89</v>
      </c>
      <c r="F63" s="22">
        <f>F56+F62</f>
        <v>0</v>
      </c>
      <c r="G63" s="22">
        <f>G56+G62</f>
        <v>1757.8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3309629.45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1621443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15331.670000000002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4946404.12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267874.59999999998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138602.66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11993.6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5404.6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418470.86</v>
      </c>
      <c r="D78" s="130">
        <f>SUM(D72:D77)</f>
        <v>5404.6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5364874.9800000004</v>
      </c>
      <c r="D81" s="130">
        <f>SUM(D79:D80)+D78+D70</f>
        <v>5404.6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163060.9</v>
      </c>
      <c r="D88" s="95">
        <f>SUM('DOE25'!G153:G161)</f>
        <v>151723.11000000002</v>
      </c>
      <c r="E88" s="95">
        <f>SUM('DOE25'!H153:H161)</f>
        <v>428571.09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163060.9</v>
      </c>
      <c r="D91" s="131">
        <f>SUM(D85:D90)</f>
        <v>151723.11000000002</v>
      </c>
      <c r="E91" s="131">
        <f>SUM(E85:E90)</f>
        <v>428571.09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3091.87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3091.87</v>
      </c>
      <c r="E103" s="86">
        <f>SUM(E93:E102)</f>
        <v>0</v>
      </c>
      <c r="F103" s="86">
        <f>SUM(F93:F102)</f>
        <v>0</v>
      </c>
      <c r="G103" s="86">
        <f>SUM(G93:G102)</f>
        <v>150000</v>
      </c>
    </row>
    <row r="104" spans="1:7" ht="12.75" thickTop="1" thickBot="1" x14ac:dyDescent="0.25">
      <c r="A104" s="33" t="s">
        <v>759</v>
      </c>
      <c r="C104" s="86">
        <f>C63+C81+C91+C103</f>
        <v>18023820.460000001</v>
      </c>
      <c r="D104" s="86">
        <f>D63+D81+D91+D103</f>
        <v>395465.6</v>
      </c>
      <c r="E104" s="86">
        <f>E63+E81+E91+E103</f>
        <v>443626.98000000004</v>
      </c>
      <c r="F104" s="86">
        <f>F63+F81+F91+F103</f>
        <v>0</v>
      </c>
      <c r="G104" s="86">
        <f>G63+G81+G103</f>
        <v>151757.79999999999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6589087.8099999996</v>
      </c>
      <c r="D109" s="24" t="s">
        <v>286</v>
      </c>
      <c r="E109" s="95">
        <f>('DOE25'!L276)+('DOE25'!L295)+('DOE25'!L314)</f>
        <v>179039.38999999998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2939496.01</v>
      </c>
      <c r="D110" s="24" t="s">
        <v>286</v>
      </c>
      <c r="E110" s="95">
        <f>('DOE25'!L277)+('DOE25'!L296)+('DOE25'!L315)</f>
        <v>105051.4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130753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376342.01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10035678.83</v>
      </c>
      <c r="D115" s="86">
        <f>SUM(D109:D114)</f>
        <v>0</v>
      </c>
      <c r="E115" s="86">
        <f>SUM(E109:E114)</f>
        <v>284090.78999999998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1458612.57</v>
      </c>
      <c r="D118" s="24" t="s">
        <v>286</v>
      </c>
      <c r="E118" s="95">
        <f>+('DOE25'!L281)+('DOE25'!L300)+('DOE25'!L319)</f>
        <v>69532.87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887298.11</v>
      </c>
      <c r="D119" s="24" t="s">
        <v>286</v>
      </c>
      <c r="E119" s="95">
        <f>+('DOE25'!L282)+('DOE25'!L301)+('DOE25'!L320)</f>
        <v>69562.03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882936.67</v>
      </c>
      <c r="D120" s="24" t="s">
        <v>286</v>
      </c>
      <c r="E120" s="95">
        <f>+('DOE25'!L283)+('DOE25'!L302)+('DOE25'!L321)</f>
        <v>4925.1500000000005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1122313.5900000001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1723891.21</v>
      </c>
      <c r="D123" s="24" t="s">
        <v>286</v>
      </c>
      <c r="E123" s="95">
        <f>+('DOE25'!L286)+('DOE25'!L305)+('DOE25'!L324)</f>
        <v>24512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645315.64999999991</v>
      </c>
      <c r="D124" s="24" t="s">
        <v>286</v>
      </c>
      <c r="E124" s="95">
        <f>+('DOE25'!L287)+('DOE25'!L306)+('DOE25'!L325)</f>
        <v>2394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392872.13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6720367.8000000007</v>
      </c>
      <c r="D128" s="86">
        <f>SUM(D118:D127)</f>
        <v>392872.13</v>
      </c>
      <c r="E128" s="86">
        <f>SUM(E118:E127)</f>
        <v>170926.05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635000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268588.26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3091.87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101491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50266.8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-1757.7999999999884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1056680.1299999999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17812726.760000002</v>
      </c>
      <c r="D145" s="86">
        <f>(D115+D128+D144)</f>
        <v>392872.13</v>
      </c>
      <c r="E145" s="86">
        <f>(E115+E128+E144)</f>
        <v>455016.83999999997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12072350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4.13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6830000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6830000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635000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635000</v>
      </c>
    </row>
    <row r="159" spans="1:9" x14ac:dyDescent="0.2">
      <c r="A159" s="22" t="s">
        <v>35</v>
      </c>
      <c r="B159" s="137">
        <f>'DOE25'!F498</f>
        <v>6195000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6195000</v>
      </c>
    </row>
    <row r="160" spans="1:9" x14ac:dyDescent="0.2">
      <c r="A160" s="22" t="s">
        <v>36</v>
      </c>
      <c r="B160" s="137">
        <f>'DOE25'!F499</f>
        <v>803187.89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803187.89</v>
      </c>
    </row>
    <row r="161" spans="1:7" x14ac:dyDescent="0.2">
      <c r="A161" s="22" t="s">
        <v>37</v>
      </c>
      <c r="B161" s="137">
        <f>'DOE25'!F500</f>
        <v>6998187.8899999997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6998187.8899999997</v>
      </c>
    </row>
    <row r="162" spans="1:7" x14ac:dyDescent="0.2">
      <c r="A162" s="22" t="s">
        <v>38</v>
      </c>
      <c r="B162" s="137">
        <f>'DOE25'!F501</f>
        <v>665000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665000</v>
      </c>
    </row>
    <row r="163" spans="1:7" x14ac:dyDescent="0.2">
      <c r="A163" s="22" t="s">
        <v>39</v>
      </c>
      <c r="B163" s="137">
        <f>'DOE25'!F502</f>
        <v>202684.76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202684.76</v>
      </c>
    </row>
    <row r="164" spans="1:7" x14ac:dyDescent="0.2">
      <c r="A164" s="22" t="s">
        <v>246</v>
      </c>
      <c r="B164" s="137">
        <f>'DOE25'!F503</f>
        <v>867684.76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867684.76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7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Epping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15078</v>
      </c>
    </row>
    <row r="5" spans="1:4" x14ac:dyDescent="0.2">
      <c r="B5" t="s">
        <v>698</v>
      </c>
      <c r="C5" s="179">
        <f>IF('DOE25'!G665+'DOE25'!G670=0,0,ROUND('DOE25'!G672,0))</f>
        <v>16824</v>
      </c>
    </row>
    <row r="6" spans="1:4" x14ac:dyDescent="0.2">
      <c r="B6" t="s">
        <v>62</v>
      </c>
      <c r="C6" s="179">
        <f>IF('DOE25'!H665+'DOE25'!H670=0,0,ROUND('DOE25'!H672,0))</f>
        <v>19852</v>
      </c>
    </row>
    <row r="7" spans="1:4" x14ac:dyDescent="0.2">
      <c r="B7" t="s">
        <v>699</v>
      </c>
      <c r="C7" s="179">
        <f>IF('DOE25'!I665+'DOE25'!I670=0,0,ROUND('DOE25'!I672,0))</f>
        <v>16798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6768127</v>
      </c>
      <c r="D10" s="182">
        <f>ROUND((C10/$C$28)*100,1)</f>
        <v>38.4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3044547</v>
      </c>
      <c r="D11" s="182">
        <f>ROUND((C11/$C$28)*100,1)</f>
        <v>17.3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130753</v>
      </c>
      <c r="D12" s="182">
        <f>ROUND((C12/$C$28)*100,1)</f>
        <v>0.7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376342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1528145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956860</v>
      </c>
      <c r="D16" s="182">
        <f t="shared" si="0"/>
        <v>5.4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887862</v>
      </c>
      <c r="D17" s="182">
        <f t="shared" si="0"/>
        <v>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1122314</v>
      </c>
      <c r="D18" s="182">
        <f t="shared" si="0"/>
        <v>6.4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1748403</v>
      </c>
      <c r="D20" s="182">
        <f t="shared" si="0"/>
        <v>9.9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647710</v>
      </c>
      <c r="D21" s="182">
        <f t="shared" si="0"/>
        <v>3.7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268588</v>
      </c>
      <c r="D25" s="182">
        <f t="shared" si="0"/>
        <v>1.5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157625.98000000001</v>
      </c>
      <c r="D27" s="182">
        <f t="shared" si="0"/>
        <v>0.9</v>
      </c>
    </row>
    <row r="28" spans="1:4" x14ac:dyDescent="0.2">
      <c r="B28" s="187" t="s">
        <v>717</v>
      </c>
      <c r="C28" s="180">
        <f>SUM(C10:C27)</f>
        <v>17637276.98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17637276.98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635000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12277502</v>
      </c>
      <c r="D35" s="182">
        <f t="shared" ref="D35:D40" si="1">ROUND((C35/$C$41)*100,1)</f>
        <v>65.900000000000006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235196.27000000142</v>
      </c>
      <c r="D36" s="182">
        <f t="shared" si="1"/>
        <v>1.3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4931072</v>
      </c>
      <c r="D37" s="182">
        <f t="shared" si="1"/>
        <v>26.5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439207</v>
      </c>
      <c r="D38" s="182">
        <f t="shared" si="1"/>
        <v>2.4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743355</v>
      </c>
      <c r="D39" s="182">
        <f t="shared" si="1"/>
        <v>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18626332.270000003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Epping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2018-09-04T16:23:55Z</cp:lastPrinted>
  <dcterms:created xsi:type="dcterms:W3CDTF">1997-12-04T19:04:30Z</dcterms:created>
  <dcterms:modified xsi:type="dcterms:W3CDTF">2018-12-03T18:38:56Z</dcterms:modified>
</cp:coreProperties>
</file>