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2845" windowHeight="5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3" i="1" l="1"/>
  <c r="H528" i="1"/>
  <c r="H526" i="1" l="1"/>
  <c r="I523" i="1"/>
  <c r="G521" i="1"/>
  <c r="H521" i="1"/>
  <c r="I521" i="1"/>
  <c r="J521" i="1"/>
  <c r="K521" i="1"/>
  <c r="F521" i="1"/>
  <c r="H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5" i="10"/>
  <c r="C18" i="10"/>
  <c r="C19" i="10"/>
  <c r="C20" i="10"/>
  <c r="L250" i="1"/>
  <c r="L332" i="1"/>
  <c r="L254" i="1"/>
  <c r="L268" i="1"/>
  <c r="C26" i="10" s="1"/>
  <c r="L269" i="1"/>
  <c r="L349" i="1"/>
  <c r="L350" i="1"/>
  <c r="I665" i="1"/>
  <c r="I670" i="1"/>
  <c r="L229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D50" i="2" s="1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E62" i="2" s="1"/>
  <c r="E63" i="2" s="1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G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H460" i="1"/>
  <c r="I460" i="1"/>
  <c r="I461" i="1" s="1"/>
  <c r="H642" i="1" s="1"/>
  <c r="H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H641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I257" i="1"/>
  <c r="I271" i="1" s="1"/>
  <c r="G164" i="2"/>
  <c r="L328" i="1"/>
  <c r="L351" i="1"/>
  <c r="D17" i="13"/>
  <c r="C17" i="13" s="1"/>
  <c r="C91" i="2"/>
  <c r="F78" i="2"/>
  <c r="F81" i="2" s="1"/>
  <c r="G156" i="2"/>
  <c r="D91" i="2"/>
  <c r="D19" i="13"/>
  <c r="C19" i="13" s="1"/>
  <c r="D14" i="13"/>
  <c r="C14" i="13" s="1"/>
  <c r="E13" i="13"/>
  <c r="C13" i="13" s="1"/>
  <c r="L427" i="1"/>
  <c r="J641" i="1"/>
  <c r="J571" i="1"/>
  <c r="K571" i="1"/>
  <c r="L433" i="1"/>
  <c r="L419" i="1"/>
  <c r="I169" i="1"/>
  <c r="G552" i="1"/>
  <c r="H476" i="1"/>
  <c r="H624" i="1" s="1"/>
  <c r="I476" i="1"/>
  <c r="H625" i="1" s="1"/>
  <c r="J625" i="1" s="1"/>
  <c r="J140" i="1"/>
  <c r="F571" i="1"/>
  <c r="I552" i="1"/>
  <c r="K550" i="1"/>
  <c r="G22" i="2"/>
  <c r="K598" i="1"/>
  <c r="G647" i="1" s="1"/>
  <c r="C29" i="10"/>
  <c r="H140" i="1"/>
  <c r="L401" i="1"/>
  <c r="C139" i="2" s="1"/>
  <c r="L393" i="1"/>
  <c r="F22" i="13"/>
  <c r="H25" i="13"/>
  <c r="C25" i="13" s="1"/>
  <c r="H571" i="1"/>
  <c r="L560" i="1"/>
  <c r="J545" i="1"/>
  <c r="G192" i="1"/>
  <c r="H192" i="1"/>
  <c r="C35" i="10"/>
  <c r="L309" i="1"/>
  <c r="J655" i="1"/>
  <c r="L570" i="1"/>
  <c r="I571" i="1"/>
  <c r="I545" i="1"/>
  <c r="J636" i="1"/>
  <c r="G36" i="2"/>
  <c r="L565" i="1"/>
  <c r="C22" i="13"/>
  <c r="C138" i="2"/>
  <c r="A40" i="12" l="1"/>
  <c r="L529" i="1"/>
  <c r="C110" i="2"/>
  <c r="H660" i="1"/>
  <c r="J651" i="1"/>
  <c r="H338" i="1"/>
  <c r="H352" i="1" s="1"/>
  <c r="I662" i="1"/>
  <c r="L544" i="1"/>
  <c r="K551" i="1"/>
  <c r="J552" i="1"/>
  <c r="H545" i="1"/>
  <c r="K549" i="1"/>
  <c r="L524" i="1"/>
  <c r="D81" i="2"/>
  <c r="G62" i="2"/>
  <c r="D7" i="13"/>
  <c r="C7" i="13" s="1"/>
  <c r="J624" i="1"/>
  <c r="J640" i="1"/>
  <c r="I446" i="1"/>
  <c r="G642" i="1" s="1"/>
  <c r="J643" i="1"/>
  <c r="J645" i="1"/>
  <c r="F476" i="1"/>
  <c r="H622" i="1" s="1"/>
  <c r="J622" i="1" s="1"/>
  <c r="D18" i="2"/>
  <c r="C18" i="2"/>
  <c r="K271" i="1"/>
  <c r="C132" i="2"/>
  <c r="C32" i="10"/>
  <c r="H33" i="13"/>
  <c r="E8" i="13"/>
  <c r="C8" i="13" s="1"/>
  <c r="L362" i="1"/>
  <c r="C27" i="10" s="1"/>
  <c r="C16" i="10"/>
  <c r="C109" i="2"/>
  <c r="C115" i="2" s="1"/>
  <c r="H257" i="1"/>
  <c r="H271" i="1" s="1"/>
  <c r="G649" i="1"/>
  <c r="J649" i="1" s="1"/>
  <c r="C21" i="10"/>
  <c r="D15" i="13"/>
  <c r="C15" i="13" s="1"/>
  <c r="H647" i="1"/>
  <c r="J647" i="1" s="1"/>
  <c r="H52" i="1"/>
  <c r="H619" i="1" s="1"/>
  <c r="J619" i="1" s="1"/>
  <c r="E31" i="2"/>
  <c r="D29" i="13"/>
  <c r="C29" i="13" s="1"/>
  <c r="D12" i="13"/>
  <c r="C12" i="13" s="1"/>
  <c r="C118" i="2"/>
  <c r="L211" i="1"/>
  <c r="D5" i="13"/>
  <c r="C5" i="13" s="1"/>
  <c r="H661" i="1"/>
  <c r="H664" i="1" s="1"/>
  <c r="D127" i="2"/>
  <c r="D128" i="2" s="1"/>
  <c r="D145" i="2" s="1"/>
  <c r="G661" i="1"/>
  <c r="E128" i="2"/>
  <c r="L290" i="1"/>
  <c r="L338" i="1" s="1"/>
  <c r="L352" i="1" s="1"/>
  <c r="G633" i="1" s="1"/>
  <c r="J633" i="1" s="1"/>
  <c r="C120" i="2"/>
  <c r="C11" i="10"/>
  <c r="C10" i="10"/>
  <c r="C78" i="2"/>
  <c r="C81" i="2" s="1"/>
  <c r="C62" i="2"/>
  <c r="F112" i="1"/>
  <c r="C56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K552" i="1" l="1"/>
  <c r="L545" i="1"/>
  <c r="F660" i="1"/>
  <c r="F664" i="1" s="1"/>
  <c r="F667" i="1" s="1"/>
  <c r="E145" i="2"/>
  <c r="C63" i="2"/>
  <c r="E33" i="13"/>
  <c r="D35" i="13" s="1"/>
  <c r="C128" i="2"/>
  <c r="C145" i="2" s="1"/>
  <c r="H646" i="1"/>
  <c r="J646" i="1" s="1"/>
  <c r="G104" i="2"/>
  <c r="E51" i="2"/>
  <c r="G635" i="1"/>
  <c r="J635" i="1" s="1"/>
  <c r="D31" i="13"/>
  <c r="C31" i="13" s="1"/>
  <c r="I661" i="1"/>
  <c r="L257" i="1"/>
  <c r="L271" i="1" s="1"/>
  <c r="G632" i="1" s="1"/>
  <c r="J632" i="1" s="1"/>
  <c r="H672" i="1"/>
  <c r="C6" i="10" s="1"/>
  <c r="H667" i="1"/>
  <c r="G664" i="1"/>
  <c r="C28" i="10"/>
  <c r="D21" i="10" s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D33" i="13"/>
  <c r="D36" i="13" s="1"/>
  <c r="F672" i="1"/>
  <c r="C4" i="10" s="1"/>
  <c r="I664" i="1"/>
  <c r="I672" i="1" s="1"/>
  <c r="C7" i="10" s="1"/>
  <c r="D15" i="10"/>
  <c r="D12" i="10"/>
  <c r="D11" i="10"/>
  <c r="D16" i="10"/>
  <c r="D19" i="10"/>
  <c r="D27" i="10"/>
  <c r="D22" i="10"/>
  <c r="D18" i="10"/>
  <c r="D26" i="10"/>
  <c r="D24" i="10"/>
  <c r="D10" i="10"/>
  <c r="C30" i="10"/>
  <c r="D23" i="10"/>
  <c r="G667" i="1"/>
  <c r="G672" i="1"/>
  <c r="C5" i="10" s="1"/>
  <c r="D20" i="10"/>
  <c r="D25" i="10"/>
  <c r="D17" i="10"/>
  <c r="D13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<sst xmlns="http://schemas.openxmlformats.org/spreadsheetml/2006/main" count="3957" uniqueCount="913">
  <si>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</si>
  <si>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</si>
  <si>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</si>
  <si>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</si>
  <si>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</si>
  <si>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</si>
  <si>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</si>
  <si>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</si>
  <si>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</si>
  <si>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</si>
  <si>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</si>
  <si>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</si>
  <si>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</si>
  <si>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</si>
  <si>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</si>
  <si>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</si>
  <si>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</si>
  <si>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</si>
  <si>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</si>
  <si>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</si>
  <si>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</si>
  <si>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</si>
  <si>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</si>
  <si>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</si>
  <si>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</si>
  <si>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</si>
  <si>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</si>
  <si>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</si>
  <si>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</si>
  <si>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</si>
  <si>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</si>
  <si>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</si>
  <si>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</si>
  <si>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</si>
  <si>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</si>
  <si>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</si>
  <si>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</si>
  <si>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</si>
  <si>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</si>
  <si>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</si>
  <si>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</si>
  <si>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</si>
  <si>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</si>
  <si>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</si>
  <si>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</si>
  <si>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</si>
  <si>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</si>
  <si>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</si>
  <si>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</si>
  <si>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</si>
  <si>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</si>
  <si>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</si>
  <si>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</si>
  <si>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</si>
  <si>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</si>
  <si>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</si>
  <si>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</si>
  <si>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</si>
  <si>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</si>
  <si>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</si>
  <si>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</si>
  <si>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</si>
  <si>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</si>
  <si>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</si>
  <si>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</si>
  <si>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</si>
  <si>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</si>
  <si>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</si>
  <si>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</si>
  <si>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</si>
  <si>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</si>
  <si>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</si>
  <si>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</si>
  <si>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</si>
  <si>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</si>
  <si>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</si>
  <si>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</si>
  <si>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</si>
  <si>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</si>
  <si>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</si>
  <si>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</si>
  <si>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</si>
  <si>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</si>
  <si>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</si>
  <si>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</si>
  <si>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</si>
  <si>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</si>
  <si>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</si>
  <si>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</si>
  <si>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</si>
  <si>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</si>
  <si>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</si>
  <si>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</si>
  <si>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</si>
  <si>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</si>
  <si>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</si>
  <si>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</si>
  <si>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</si>
  <si>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</si>
  <si>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</si>
  <si>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</si>
  <si>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</si>
  <si>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</si>
  <si>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</si>
  <si>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</si>
  <si>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</si>
  <si>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</si>
  <si>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</si>
  <si>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</si>
  <si>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</si>
  <si>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</si>
  <si>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</si>
  <si>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</si>
  <si>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</si>
  <si>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</si>
  <si>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</si>
  <si>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</si>
  <si>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</si>
  <si>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</si>
  <si>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</si>
  <si>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</si>
  <si>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</si>
  <si>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</si>
  <si>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</si>
  <si>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</si>
  <si>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</si>
  <si>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</si>
  <si>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</si>
  <si>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</si>
  <si>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</si>
  <si>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</si>
  <si>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</si>
  <si>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</si>
  <si>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</si>
  <si>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</si>
  <si>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</si>
  <si>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</si>
  <si>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</si>
  <si>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</si>
  <si>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</si>
  <si>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</si>
  <si>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</si>
  <si>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</si>
  <si>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</si>
  <si>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</si>
  <si>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</si>
  <si>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</si>
  <si>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</si>
  <si>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</si>
  <si>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</si>
  <si>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</si>
  <si>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</si>
  <si>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</si>
  <si>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</si>
  <si>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</si>
  <si>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</si>
  <si>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</si>
  <si>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</si>
  <si>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</si>
  <si>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</si>
  <si>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</si>
  <si>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</si>
  <si>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</si>
  <si>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</si>
  <si>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</si>
  <si>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</si>
  <si>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</si>
  <si>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</si>
  <si>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</si>
  <si>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</si>
  <si>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</si>
  <si>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</si>
  <si>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</si>
  <si>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</si>
  <si>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</si>
  <si>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</si>
  <si>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</si>
  <si>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</si>
  <si>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</si>
  <si>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</si>
  <si>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</si>
  <si>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</si>
  <si>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</si>
  <si>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</si>
  <si>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</si>
  <si>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</si>
  <si>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</si>
  <si>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</si>
  <si>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</si>
  <si>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</si>
  <si>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</si>
  <si>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</si>
  <si>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</si>
  <si>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</si>
  <si>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</si>
  <si>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</si>
  <si>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</si>
  <si>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</si>
  <si>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</si>
  <si>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</si>
  <si>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</si>
  <si>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</si>
  <si>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</si>
  <si>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</si>
  <si>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</si>
  <si>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</si>
  <si>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</si>
  <si>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</si>
  <si>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</si>
  <si>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</si>
  <si>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</si>
  <si>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</si>
  <si>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</si>
  <si>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</si>
  <si>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</si>
  <si>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</si>
  <si>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</si>
  <si>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</si>
  <si>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</si>
  <si>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</si>
  <si>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</si>
  <si>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</si>
  <si>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</si>
  <si>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</si>
  <si>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</si>
  <si>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</si>
  <si>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</si>
  <si>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</si>
  <si>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</si>
  <si>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</si>
  <si>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</si>
  <si>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</si>
  <si>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</si>
  <si>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</si>
  <si>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</si>
  <si>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</si>
  <si>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</si>
  <si>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</si>
  <si>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</si>
  <si>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</si>
  <si>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</si>
  <si>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</si>
  <si>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</si>
  <si>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</si>
  <si>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</si>
  <si>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</si>
  <si>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</si>
  <si>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</si>
  <si>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</si>
  <si>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</si>
  <si>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</si>
  <si>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</si>
  <si>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</si>
  <si>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</si>
  <si>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</si>
  <si>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</si>
  <si>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</si>
  <si>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</si>
  <si>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</si>
  <si>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</si>
  <si>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</si>
  <si>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</si>
  <si>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</si>
  <si>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</si>
  <si>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</si>
  <si>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</si>
  <si>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</si>
  <si>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</si>
  <si>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</si>
  <si>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</si>
  <si>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</si>
  <si>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</si>
  <si>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</si>
  <si>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</si>
  <si>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</si>
  <si>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</si>
  <si>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</si>
  <si>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</si>
  <si>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</si>
  <si>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</si>
  <si>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</si>
  <si>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</si>
  <si>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</si>
  <si>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</si>
  <si>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</si>
  <si>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</si>
  <si>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</si>
  <si>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</si>
  <si>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</si>
  <si>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</si>
  <si>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</si>
  <si>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</si>
  <si>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</si>
  <si>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</si>
  <si>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</si>
  <si>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</si>
  <si>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</si>
  <si>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</si>
  <si>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</si>
  <si>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</si>
  <si>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</si>
  <si>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</si>
  <si>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</si>
  <si>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</si>
  <si>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</si>
  <si>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</si>
  <si>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</si>
  <si>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</si>
  <si>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</si>
  <si>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</si>
  <si>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</si>
  <si>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</si>
  <si>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</si>
  <si>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</si>
  <si>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</si>
  <si>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</si>
  <si>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</si>
  <si>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</si>
  <si>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</si>
  <si>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</si>
  <si>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</si>
  <si>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</si>
  <si>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</si>
  <si>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</si>
  <si>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</si>
  <si>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</si>
  <si>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</si>
  <si>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</si>
  <si>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</si>
  <si>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</si>
  <si>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</si>
  <si>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</si>
  <si>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</si>
  <si>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</si>
  <si>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</si>
  <si>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</si>
  <si>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</si>
  <si>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</si>
  <si>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</si>
  <si>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</si>
  <si>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</si>
  <si>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</si>
  <si>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</si>
  <si>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</si>
  <si>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</si>
  <si>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</si>
  <si>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</si>
  <si>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</si>
  <si>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</si>
  <si>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</si>
  <si>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</si>
  <si>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</si>
  <si>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</si>
  <si>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</si>
  <si>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</si>
  <si>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</si>
  <si>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</si>
  <si>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</si>
  <si>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</si>
  <si>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</si>
  <si>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</si>
  <si>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</si>
  <si>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</si>
  <si>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</si>
  <si>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</si>
  <si>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</si>
  <si>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</si>
  <si>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</si>
  <si>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</si>
  <si>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</si>
  <si>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</si>
  <si>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</si>
  <si>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</si>
  <si>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</si>
  <si>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</si>
  <si>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</si>
  <si>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</si>
  <si>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</si>
  <si>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</si>
  <si>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</si>
  <si>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</si>
  <si>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</si>
  <si>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</si>
  <si>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</si>
  <si>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</si>
  <si>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</si>
  <si>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</si>
  <si>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</si>
  <si>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</si>
  <si>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</si>
  <si>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</si>
  <si>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</si>
  <si>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</si>
  <si>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</si>
  <si>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</si>
  <si>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</si>
  <si>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</si>
  <si>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</si>
  <si>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</si>
  <si>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</si>
  <si>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</si>
  <si>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</si>
  <si>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</si>
  <si>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</si>
  <si>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</si>
  <si>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</si>
  <si>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</si>
  <si>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</si>
  <si>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</si>
  <si>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</si>
  <si>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</si>
  <si>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</si>
  <si>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</si>
  <si>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</si>
  <si>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</si>
  <si>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</si>
  <si>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</si>
  <si>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</si>
  <si>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</si>
  <si>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</si>
  <si>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</si>
  <si>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</si>
  <si>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</si>
  <si>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</si>
  <si>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</si>
  <si>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</si>
  <si>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</si>
  <si>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</si>
  <si>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</si>
  <si>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</si>
  <si>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</si>
  <si>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</si>
  <si>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</si>
  <si>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</si>
  <si>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</si>
  <si>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</si>
  <si>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</si>
  <si>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</si>
  <si>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</si>
  <si>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</si>
  <si>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</si>
  <si>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</si>
  <si>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</si>
  <si>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</si>
  <si>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</si>
  <si>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</si>
  <si>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</si>
  <si>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</si>
  <si>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</si>
  <si>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</si>
  <si>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</si>
  <si>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</si>
  <si>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</si>
  <si>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</si>
  <si>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</si>
  <si>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</si>
  <si>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</si>
  <si>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</si>
  <si>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</si>
  <si>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</si>
  <si>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</si>
  <si>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</si>
  <si>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</si>
  <si>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</si>
  <si>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</si>
  <si>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</si>
  <si>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</si>
  <si>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</si>
  <si>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</si>
  <si>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</si>
  <si>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</si>
  <si>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</si>
  <si>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</si>
  <si>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</si>
  <si>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</si>
  <si>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</si>
  <si>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</si>
  <si>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</si>
  <si>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</si>
  <si>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</si>
  <si>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</si>
  <si>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</si>
  <si>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</si>
  <si>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</si>
  <si>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</si>
  <si>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</si>
  <si>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</si>
  <si>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</si>
  <si>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</si>
  <si>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</si>
  <si>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</si>
  <si>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</si>
  <si>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</si>
  <si>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</si>
  <si>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</si>
  <si>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</si>
  <si>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</si>
  <si>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</si>
  <si>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</si>
  <si>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</si>
  <si>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</si>
  <si>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</si>
  <si>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</si>
  <si>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</si>
  <si>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</si>
  <si>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</si>
  <si>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</si>
  <si>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</si>
  <si>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</si>
  <si>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</si>
  <si>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</si>
  <si>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</si>
  <si>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</si>
  <si>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</si>
  <si>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</si>
  <si>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</si>
  <si>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</si>
  <si>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</si>
  <si>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</si>
  <si>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</si>
  <si>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</si>
  <si>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</si>
  <si>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</si>
  <si>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</si>
  <si>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</si>
  <si>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</si>
  <si>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</si>
  <si>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</si>
  <si>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</si>
  <si>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</si>
  <si>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</si>
  <si>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</si>
  <si>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</si>
  <si>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</si>
  <si>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</si>
  <si>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</si>
  <si>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</si>
  <si>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</si>
  <si>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</si>
  <si>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</si>
  <si>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</si>
  <si>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</si>
  <si>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</si>
  <si>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</si>
  <si>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</si>
  <si>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</si>
  <si>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</si>
  <si>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</si>
  <si>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</si>
  <si>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</si>
  <si>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</si>
  <si>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</si>
  <si>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</si>
  <si>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</si>
  <si>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</si>
  <si>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</si>
  <si>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</si>
  <si>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</si>
  <si>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</si>
  <si>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</si>
  <si>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</si>
  <si>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</si>
  <si>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</si>
  <si>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</si>
  <si>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</si>
  <si>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</si>
  <si>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</si>
  <si>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</si>
  <si>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</si>
  <si>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</si>
  <si>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</si>
  <si>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</si>
  <si>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</si>
  <si>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</si>
  <si>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</si>
  <si>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</si>
  <si>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</si>
  <si>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</si>
  <si>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</si>
  <si>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</si>
  <si>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</si>
  <si>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</si>
  <si>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</si>
  <si>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</si>
  <si>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</si>
  <si>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</si>
  <si>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</si>
  <si>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</si>
  <si>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</si>
  <si>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</si>
  <si>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</si>
  <si>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</si>
  <si>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</si>
  <si>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</si>
  <si>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</si>
  <si>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</si>
  <si>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</si>
  <si>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</si>
  <si>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</si>
  <si>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</si>
  <si>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</si>
  <si>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</si>
  <si>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</si>
  <si>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</si>
  <si>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</si>
  <si>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</si>
  <si>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</si>
  <si>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</si>
  <si>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</si>
  <si>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</si>
  <si>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</si>
  <si>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</si>
  <si>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</si>
  <si>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</si>
  <si>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</si>
  <si>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</si>
  <si>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</si>
  <si>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</si>
  <si>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</si>
  <si>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</si>
  <si>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</si>
  <si>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</si>
  <si>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</si>
  <si>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</si>
  <si>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</si>
  <si>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</si>
  <si>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</si>
  <si>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</si>
  <si>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</si>
  <si>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</si>
  <si>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</si>
  <si>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</si>
  <si>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</si>
  <si>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</si>
  <si>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</si>
  <si>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</si>
  <si>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</si>
  <si>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</si>
  <si>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</si>
  <si>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</si>
  <si>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</si>
  <si>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</si>
  <si>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</si>
  <si>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</si>
  <si>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</si>
  <si>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</si>
  <si>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</si>
  <si>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</si>
  <si>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</si>
  <si>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</si>
  <si>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</si>
  <si>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</si>
  <si>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</si>
  <si>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</si>
  <si>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</si>
  <si>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</si>
  <si>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</si>
  <si>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</si>
  <si>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</si>
  <si>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</si>
  <si>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</si>
  <si>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</si>
  <si>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</si>
  <si>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</si>
  <si>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</si>
  <si>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</si>
  <si>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</si>
  <si>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</si>
  <si>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</si>
  <si>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</si>
  <si>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</si>
  <si>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</si>
  <si>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</si>
  <si>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</si>
  <si>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</si>
  <si>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</si>
  <si>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</si>
  <si>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</si>
  <si>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</si>
  <si>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</si>
  <si>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</si>
  <si>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</si>
  <si>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</si>
  <si>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</si>
  <si>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</si>
  <si>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</si>
  <si>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</si>
  <si>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</si>
  <si>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</si>
  <si>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</si>
  <si>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</si>
  <si>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</si>
  <si>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</si>
  <si>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</si>
  <si>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</si>
  <si>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</si>
  <si>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</si>
  <si>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</si>
  <si>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</si>
  <si>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</si>
  <si>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</si>
  <si>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</si>
  <si>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</si>
  <si>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</si>
  <si>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</si>
  <si>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</si>
  <si>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</si>
  <si>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</si>
  <si>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</si>
  <si>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</si>
  <si>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</si>
  <si>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</si>
  <si>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</si>
  <si>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</si>
  <si>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</si>
  <si>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</si>
  <si>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</si>
  <si>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</si>
  <si>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</si>
  <si>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</si>
  <si>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</si>
  <si>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</si>
  <si>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</si>
  <si>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</si>
  <si>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</si>
  <si>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</si>
  <si>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</si>
  <si>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</si>
  <si>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</si>
  <si>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</si>
  <si>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</si>
  <si>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</si>
  <si>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</si>
  <si>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</si>
  <si>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</si>
  <si>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</si>
  <si>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</si>
  <si>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</si>
  <si>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</si>
  <si>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</si>
  <si>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</si>
  <si>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</si>
  <si>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</si>
  <si>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</si>
  <si>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</si>
  <si>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</si>
  <si>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</si>
  <si>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</si>
  <si>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</si>
  <si>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</si>
  <si>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</si>
  <si>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</si>
  <si>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</si>
  <si>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</si>
  <si>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</si>
  <si>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</si>
  <si>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</si>
  <si>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</si>
  <si>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</si>
  <si>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</si>
  <si>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</si>
  <si>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</si>
  <si>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</si>
  <si>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</si>
  <si>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</si>
  <si>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</si>
  <si>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</si>
  <si>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</si>
  <si>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</si>
  <si>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</si>
  <si>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</si>
  <si>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</si>
  <si>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</si>
  <si>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</si>
  <si>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</si>
  <si>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</si>
  <si>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</si>
  <si>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</si>
  <si>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</si>
  <si>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</si>
  <si>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</si>
  <si>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</si>
  <si>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</si>
  <si>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</si>
  <si>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</si>
  <si>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</si>
  <si>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</si>
  <si>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</si>
  <si>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</si>
  <si>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</si>
  <si>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</si>
  <si>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</si>
  <si>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</si>
  <si>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</si>
  <si>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</si>
  <si>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</si>
  <si>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</si>
  <si>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</si>
  <si>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</si>
  <si>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</si>
  <si>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</si>
  <si>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</si>
  <si>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</si>
  <si>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</si>
  <si>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</si>
  <si>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</si>
  <si>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</si>
  <si>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</si>
  <si>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</si>
  <si>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</si>
  <si>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</si>
  <si>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</si>
  <si>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</si>
  <si>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</si>
  <si>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</si>
  <si>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</si>
  <si>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</si>
  <si>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</si>
  <si>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</si>
  <si>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</si>
  <si>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</si>
  <si>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</si>
  <si>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</si>
  <si>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</si>
  <si>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</si>
  <si>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</si>
  <si>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</si>
  <si>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</si>
  <si>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</si>
  <si>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</si>
  <si>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</si>
  <si>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</si>
  <si>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</si>
  <si>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</si>
  <si>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</si>
  <si>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</si>
  <si>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</si>
  <si>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</si>
  <si>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</si>
  <si>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</si>
  <si>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</si>
  <si>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</si>
  <si>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</si>
  <si>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</si>
  <si>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</si>
  <si>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</si>
  <si>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</si>
  <si>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</si>
  <si>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</si>
  <si>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</si>
  <si>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</si>
  <si>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</si>
  <si>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</si>
  <si>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</si>
  <si>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</si>
  <si>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</si>
  <si>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</si>
  <si>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</si>
  <si>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</si>
  <si>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</si>
  <si>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</si>
  <si>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</si>
  <si>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</si>
  <si>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</si>
  <si>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</si>
  <si>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</si>
  <si>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</si>
  <si>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</si>
  <si>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</si>
  <si>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</si>
  <si>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</si>
  <si>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</si>
  <si>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</si>
  <si>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</si>
  <si>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</si>
  <si>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</si>
  <si>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</si>
  <si>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</si>
  <si>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</si>
  <si>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</si>
  <si>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</si>
  <si>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</si>
  <si>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</si>
  <si>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</si>
  <si>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</si>
  <si>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</si>
  <si>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</si>
  <si>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</si>
  <si>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</si>
  <si>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</si>
  <si>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</si>
  <si>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</si>
  <si>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</si>
  <si>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</si>
  <si>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</si>
  <si>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</si>
  <si>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</si>
  <si>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</si>
  <si>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</si>
  <si>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</si>
  <si>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</si>
  <si>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</si>
  <si>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</si>
  <si>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</si>
  <si>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</si>
  <si>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</si>
  <si>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</si>
  <si>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</si>
  <si>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</si>
  <si>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</si>
  <si>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</si>
  <si>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</si>
  <si>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EPSOM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</si>
</sst>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167</v>
      </c>
      <c r="C2" s="21">
        <v>167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1084366.93</v>
      </c>
      <c r="G9" s="18"/>
      <c r="H9" s="18"/>
      <c r="I9" s="18">
        <v>0</v>
      </c>
      <c r="J9" s="67">
        <f>SUM(I439)</f>
        <v>293736.18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31569.31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111014.44</v>
      </c>
      <c r="G13" s="18">
        <v>3679.04</v>
      </c>
      <c r="H13" s="18">
        <v>21242.95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14720.98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>
        <v>2692.96</v>
      </c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1226950.68</v>
      </c>
      <c r="G19" s="41">
        <f>SUM(G9:G18)</f>
        <v>18400.02</v>
      </c>
      <c r="H19" s="41">
        <f>SUM(H9:H18)</f>
        <v>23935.91</v>
      </c>
      <c r="I19" s="41">
        <f>SUM(I9:I18)</f>
        <v>0</v>
      </c>
      <c r="J19" s="41">
        <f>SUM(J9:J18)</f>
        <v>293736.18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18400.02</v>
      </c>
      <c r="H22" s="18">
        <v>15862.25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584539.69999999995</v>
      </c>
      <c r="G23" s="18">
        <v>0</v>
      </c>
      <c r="H23" s="18">
        <v>5380.7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207280.1</v>
      </c>
      <c r="G24" s="18">
        <v>0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/>
      <c r="H25" s="18">
        <v>0</v>
      </c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127812.02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/>
      <c r="H30" s="18">
        <v>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919631.82</v>
      </c>
      <c r="G32" s="41">
        <f>SUM(G22:G31)</f>
        <v>18400.02</v>
      </c>
      <c r="H32" s="41">
        <f>SUM(H22:H31)</f>
        <v>21242.95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2692.96</v>
      </c>
      <c r="I48" s="18"/>
      <c r="J48" s="13">
        <f>SUM(I459)</f>
        <v>293736.18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242318.86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307318.86</v>
      </c>
      <c r="G51" s="41">
        <f>SUM(G35:G50)</f>
        <v>0</v>
      </c>
      <c r="H51" s="41">
        <f>SUM(H35:H50)</f>
        <v>2692.96</v>
      </c>
      <c r="I51" s="41">
        <f>SUM(I35:I50)</f>
        <v>0</v>
      </c>
      <c r="J51" s="41">
        <f>SUM(J35:J50)</f>
        <v>293736.18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1226950.68</v>
      </c>
      <c r="G52" s="41">
        <f>G51+G32</f>
        <v>18400.02</v>
      </c>
      <c r="H52" s="41">
        <f>H51+H32</f>
        <v>23935.91</v>
      </c>
      <c r="I52" s="41">
        <f>I51+I32</f>
        <v>0</v>
      </c>
      <c r="J52" s="41">
        <f>J51+J32</f>
        <v>293736.18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6807256</v>
      </c>
      <c r="G57" s="18"/>
      <c r="H57" s="18"/>
      <c r="I57" s="18"/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6807256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1000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1000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3529.8</v>
      </c>
      <c r="G96" s="18"/>
      <c r="H96" s="18"/>
      <c r="I96" s="18"/>
      <c r="J96" s="18">
        <v>7231.85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87910.23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1412.75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78122.91</v>
      </c>
      <c r="G110" s="18">
        <v>35</v>
      </c>
      <c r="H110" s="18">
        <v>3000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83065.460000000006</v>
      </c>
      <c r="G111" s="41">
        <f>SUM(G96:G110)</f>
        <v>87945.23</v>
      </c>
      <c r="H111" s="41">
        <f>SUM(H96:H110)</f>
        <v>3000</v>
      </c>
      <c r="I111" s="41">
        <f>SUM(I96:I110)</f>
        <v>0</v>
      </c>
      <c r="J111" s="41">
        <f>SUM(J96:J110)</f>
        <v>7231.85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6891321.46</v>
      </c>
      <c r="G112" s="41">
        <f>G60+G111</f>
        <v>87945.23</v>
      </c>
      <c r="H112" s="41">
        <f>H60+H79+H94+H111</f>
        <v>3000</v>
      </c>
      <c r="I112" s="41">
        <f>I60+I111</f>
        <v>0</v>
      </c>
      <c r="J112" s="41">
        <f>J60+J111</f>
        <v>7231.85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2492850.64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935001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8165.88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3436017.52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77612.95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2510.17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77612.95</v>
      </c>
      <c r="G136" s="41">
        <f>SUM(G123:G135)</f>
        <v>2510.17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3513630.47</v>
      </c>
      <c r="G140" s="41">
        <f>G121+SUM(G136:G137)</f>
        <v>2510.17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25908.11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89358.31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70822.06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106902.37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95596.91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202499.28</v>
      </c>
      <c r="G162" s="41">
        <f>SUM(G150:G161)</f>
        <v>70822.06</v>
      </c>
      <c r="H162" s="41">
        <f>SUM(H150:H161)</f>
        <v>115266.42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202499.28</v>
      </c>
      <c r="G169" s="41">
        <f>G147+G162+SUM(G163:G168)</f>
        <v>70822.06</v>
      </c>
      <c r="H169" s="41">
        <f>H147+H162+SUM(H163:H168)</f>
        <v>115266.42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11205.56</v>
      </c>
      <c r="H179" s="18"/>
      <c r="I179" s="18"/>
      <c r="J179" s="18">
        <v>40000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11205.56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11205.56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10607451.209999999</v>
      </c>
      <c r="G193" s="47">
        <f>G112+G140+G169+G192</f>
        <v>172483.02</v>
      </c>
      <c r="H193" s="47">
        <f>H112+H140+H169+H192</f>
        <v>118266.42</v>
      </c>
      <c r="I193" s="47">
        <f>I112+I140+I169+I192</f>
        <v>0</v>
      </c>
      <c r="J193" s="47">
        <f>J112+J140+J192</f>
        <v>47231.85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2029695.01</v>
      </c>
      <c r="G197" s="18">
        <v>1056458.02</v>
      </c>
      <c r="H197" s="18">
        <v>8041.25</v>
      </c>
      <c r="I197" s="18">
        <v>79939.64</v>
      </c>
      <c r="J197" s="18">
        <v>69216.31</v>
      </c>
      <c r="K197" s="18"/>
      <c r="L197" s="19">
        <f>SUM(F197:K197)</f>
        <v>3243350.2300000004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828241.62</v>
      </c>
      <c r="G198" s="18">
        <v>431100.48</v>
      </c>
      <c r="H198" s="18">
        <v>488376.36</v>
      </c>
      <c r="I198" s="18">
        <v>5733.46</v>
      </c>
      <c r="J198" s="18">
        <v>11862.84</v>
      </c>
      <c r="K198" s="18"/>
      <c r="L198" s="19">
        <f>SUM(F198:K198)</f>
        <v>1765314.76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40758.99</v>
      </c>
      <c r="G200" s="18">
        <v>21215.09</v>
      </c>
      <c r="H200" s="18">
        <v>3161</v>
      </c>
      <c r="I200" s="18">
        <v>2263.6799999999998</v>
      </c>
      <c r="J200" s="18">
        <v>0</v>
      </c>
      <c r="K200" s="18">
        <v>420</v>
      </c>
      <c r="L200" s="19">
        <f>SUM(F200:K200)</f>
        <v>67818.759999999995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111024.73</v>
      </c>
      <c r="G202" s="18">
        <v>57788.47</v>
      </c>
      <c r="H202" s="18">
        <v>355299.59</v>
      </c>
      <c r="I202" s="18">
        <v>2539.59</v>
      </c>
      <c r="J202" s="18">
        <v>0</v>
      </c>
      <c r="K202" s="18">
        <v>278.5</v>
      </c>
      <c r="L202" s="19">
        <f t="shared" ref="L202:L208" si="0">SUM(F202:K202)</f>
        <v>526930.88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40849</v>
      </c>
      <c r="G203" s="18">
        <v>21261.94</v>
      </c>
      <c r="H203" s="18">
        <v>25528.02</v>
      </c>
      <c r="I203" s="18">
        <v>2154.73</v>
      </c>
      <c r="J203" s="18">
        <v>0</v>
      </c>
      <c r="K203" s="18"/>
      <c r="L203" s="19">
        <f t="shared" si="0"/>
        <v>89793.69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8000</v>
      </c>
      <c r="G204" s="18">
        <v>4164.01</v>
      </c>
      <c r="H204" s="18">
        <v>294228.56</v>
      </c>
      <c r="I204" s="18">
        <v>1604.02</v>
      </c>
      <c r="J204" s="18"/>
      <c r="K204" s="18">
        <v>3466.35</v>
      </c>
      <c r="L204" s="19">
        <f t="shared" si="0"/>
        <v>311462.94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354707</v>
      </c>
      <c r="G205" s="18">
        <v>184625.3</v>
      </c>
      <c r="H205" s="18">
        <v>50754.59</v>
      </c>
      <c r="I205" s="18">
        <v>6689.53</v>
      </c>
      <c r="J205" s="18">
        <v>0</v>
      </c>
      <c r="K205" s="18">
        <v>2374</v>
      </c>
      <c r="L205" s="19">
        <f t="shared" si="0"/>
        <v>599150.42000000004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138698.37</v>
      </c>
      <c r="G207" s="18">
        <v>72192.62</v>
      </c>
      <c r="H207" s="18">
        <v>331244.77</v>
      </c>
      <c r="I207" s="18">
        <v>125982.39</v>
      </c>
      <c r="J207" s="18">
        <v>2545.86</v>
      </c>
      <c r="K207" s="18"/>
      <c r="L207" s="19">
        <f t="shared" si="0"/>
        <v>670664.01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513367</v>
      </c>
      <c r="I208" s="18"/>
      <c r="J208" s="18"/>
      <c r="K208" s="18"/>
      <c r="L208" s="19">
        <f t="shared" si="0"/>
        <v>513367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3551974.72</v>
      </c>
      <c r="G211" s="41">
        <f t="shared" si="1"/>
        <v>1848805.9300000002</v>
      </c>
      <c r="H211" s="41">
        <f t="shared" si="1"/>
        <v>2070001.1400000001</v>
      </c>
      <c r="I211" s="41">
        <f t="shared" si="1"/>
        <v>226907.03999999998</v>
      </c>
      <c r="J211" s="41">
        <f t="shared" si="1"/>
        <v>83625.009999999995</v>
      </c>
      <c r="K211" s="41">
        <f t="shared" si="1"/>
        <v>6538.85</v>
      </c>
      <c r="L211" s="41">
        <f t="shared" si="1"/>
        <v>7787852.6900000004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2195903.84</v>
      </c>
      <c r="I233" s="18"/>
      <c r="J233" s="18"/>
      <c r="K233" s="18"/>
      <c r="L233" s="19">
        <f>SUM(F233:K233)</f>
        <v>2195903.84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294092.78000000003</v>
      </c>
      <c r="I234" s="18"/>
      <c r="J234" s="18"/>
      <c r="K234" s="18"/>
      <c r="L234" s="19">
        <f>SUM(F234:K234)</f>
        <v>294092.78000000003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188490.5</v>
      </c>
      <c r="I238" s="18"/>
      <c r="J238" s="18"/>
      <c r="K238" s="18"/>
      <c r="L238" s="19">
        <f t="shared" ref="L238:L244" si="4">SUM(F238:K238)</f>
        <v>188490.5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88176.21</v>
      </c>
      <c r="I244" s="18"/>
      <c r="J244" s="18"/>
      <c r="K244" s="18"/>
      <c r="L244" s="19">
        <f t="shared" si="4"/>
        <v>88176.21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2766663.33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2766663.33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3551974.72</v>
      </c>
      <c r="G257" s="41">
        <f t="shared" si="8"/>
        <v>1848805.9300000002</v>
      </c>
      <c r="H257" s="41">
        <f t="shared" si="8"/>
        <v>4836664.4700000007</v>
      </c>
      <c r="I257" s="41">
        <f t="shared" si="8"/>
        <v>226907.03999999998</v>
      </c>
      <c r="J257" s="41">
        <f t="shared" si="8"/>
        <v>83625.009999999995</v>
      </c>
      <c r="K257" s="41">
        <f t="shared" si="8"/>
        <v>6538.85</v>
      </c>
      <c r="L257" s="41">
        <f t="shared" si="8"/>
        <v>10554516.02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11205.56</v>
      </c>
      <c r="L263" s="19">
        <f>SUM(F263:K263)</f>
        <v>11205.56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40000</v>
      </c>
      <c r="L266" s="19">
        <f t="shared" si="9"/>
        <v>40000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24295.4</v>
      </c>
      <c r="L268" s="19">
        <f t="shared" si="9"/>
        <v>24295.4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75500.959999999992</v>
      </c>
      <c r="L270" s="41">
        <f t="shared" si="9"/>
        <v>75500.959999999992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3551974.72</v>
      </c>
      <c r="G271" s="42">
        <f t="shared" si="11"/>
        <v>1848805.9300000002</v>
      </c>
      <c r="H271" s="42">
        <f t="shared" si="11"/>
        <v>4836664.4700000007</v>
      </c>
      <c r="I271" s="42">
        <f t="shared" si="11"/>
        <v>226907.03999999998</v>
      </c>
      <c r="J271" s="42">
        <f t="shared" si="11"/>
        <v>83625.009999999995</v>
      </c>
      <c r="K271" s="42">
        <f t="shared" si="11"/>
        <v>82039.81</v>
      </c>
      <c r="L271" s="42">
        <f t="shared" si="11"/>
        <v>10630016.98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80284.28</v>
      </c>
      <c r="G276" s="18">
        <v>5901.53</v>
      </c>
      <c r="H276" s="18">
        <v>2601.9499999999998</v>
      </c>
      <c r="I276" s="18">
        <v>4565.5200000000004</v>
      </c>
      <c r="J276" s="18">
        <v>8426.1</v>
      </c>
      <c r="K276" s="18"/>
      <c r="L276" s="19">
        <f>SUM(F276:K276)</f>
        <v>101779.38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2250</v>
      </c>
      <c r="G282" s="18">
        <v>184.58</v>
      </c>
      <c r="H282" s="18">
        <v>7091.37</v>
      </c>
      <c r="I282" s="18">
        <v>1565.4</v>
      </c>
      <c r="J282" s="18"/>
      <c r="K282" s="18"/>
      <c r="L282" s="19">
        <f t="shared" si="12"/>
        <v>11091.35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/>
      <c r="H283" s="18"/>
      <c r="I283" s="18"/>
      <c r="J283" s="18"/>
      <c r="K283" s="18">
        <v>2145.69</v>
      </c>
      <c r="L283" s="19">
        <f t="shared" si="12"/>
        <v>2145.69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250</v>
      </c>
      <c r="G284" s="18"/>
      <c r="H284" s="18"/>
      <c r="I284" s="18"/>
      <c r="J284" s="18"/>
      <c r="K284" s="18"/>
      <c r="L284" s="19">
        <f t="shared" si="12"/>
        <v>250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307.04000000000002</v>
      </c>
      <c r="I286" s="18"/>
      <c r="J286" s="18"/>
      <c r="K286" s="18"/>
      <c r="L286" s="19">
        <f t="shared" si="12"/>
        <v>307.04000000000002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82784.28</v>
      </c>
      <c r="G290" s="42">
        <f t="shared" si="13"/>
        <v>6086.11</v>
      </c>
      <c r="H290" s="42">
        <f t="shared" si="13"/>
        <v>10000.36</v>
      </c>
      <c r="I290" s="42">
        <f t="shared" si="13"/>
        <v>6130.92</v>
      </c>
      <c r="J290" s="42">
        <f t="shared" si="13"/>
        <v>8426.1</v>
      </c>
      <c r="K290" s="42">
        <f t="shared" si="13"/>
        <v>2145.69</v>
      </c>
      <c r="L290" s="41">
        <f t="shared" si="13"/>
        <v>115573.46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0</v>
      </c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82784.28</v>
      </c>
      <c r="G338" s="41">
        <f t="shared" si="20"/>
        <v>6086.11</v>
      </c>
      <c r="H338" s="41">
        <f t="shared" si="20"/>
        <v>10000.36</v>
      </c>
      <c r="I338" s="41">
        <f t="shared" si="20"/>
        <v>6130.92</v>
      </c>
      <c r="J338" s="41">
        <f t="shared" si="20"/>
        <v>8426.1</v>
      </c>
      <c r="K338" s="41">
        <f t="shared" si="20"/>
        <v>2145.69</v>
      </c>
      <c r="L338" s="41">
        <f t="shared" si="20"/>
        <v>115573.46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82784.28</v>
      </c>
      <c r="G352" s="41">
        <f>G338</f>
        <v>6086.11</v>
      </c>
      <c r="H352" s="41">
        <f>H338</f>
        <v>10000.36</v>
      </c>
      <c r="I352" s="41">
        <f>I338</f>
        <v>6130.92</v>
      </c>
      <c r="J352" s="41">
        <f>J338</f>
        <v>8426.1</v>
      </c>
      <c r="K352" s="47">
        <f>K338+K351</f>
        <v>2145.69</v>
      </c>
      <c r="L352" s="41">
        <f>L338+L351</f>
        <v>115573.46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72200.84</v>
      </c>
      <c r="G358" s="18">
        <v>44036.29</v>
      </c>
      <c r="H358" s="18">
        <v>823.73</v>
      </c>
      <c r="I358" s="18">
        <v>53831.56</v>
      </c>
      <c r="J358" s="18">
        <v>1375.39</v>
      </c>
      <c r="K358" s="18">
        <v>810.5</v>
      </c>
      <c r="L358" s="13">
        <f>SUM(F358:K358)</f>
        <v>173078.31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72200.84</v>
      </c>
      <c r="G362" s="47">
        <f t="shared" si="22"/>
        <v>44036.29</v>
      </c>
      <c r="H362" s="47">
        <f t="shared" si="22"/>
        <v>823.73</v>
      </c>
      <c r="I362" s="47">
        <f t="shared" si="22"/>
        <v>53831.56</v>
      </c>
      <c r="J362" s="47">
        <f t="shared" si="22"/>
        <v>1375.39</v>
      </c>
      <c r="K362" s="47">
        <f t="shared" si="22"/>
        <v>810.5</v>
      </c>
      <c r="L362" s="47">
        <f t="shared" si="22"/>
        <v>173078.31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49385.279999999999</v>
      </c>
      <c r="G367" s="18"/>
      <c r="H367" s="18"/>
      <c r="I367" s="56">
        <f>SUM(F367:H367)</f>
        <v>49385.279999999999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4446.28</v>
      </c>
      <c r="G368" s="63"/>
      <c r="H368" s="63"/>
      <c r="I368" s="56">
        <f>SUM(F368:H368)</f>
        <v>4446.28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53831.56</v>
      </c>
      <c r="G369" s="47">
        <f>SUM(G367:G368)</f>
        <v>0</v>
      </c>
      <c r="H369" s="47">
        <f>SUM(H367:H368)</f>
        <v>0</v>
      </c>
      <c r="I369" s="47">
        <f>SUM(I367:I368)</f>
        <v>53831.56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4"/>
      <c r="H396" s="18">
        <v>5427.77</v>
      </c>
      <c r="I396" s="18"/>
      <c r="J396" s="24" t="s">
        <v>286</v>
      </c>
      <c r="K396" s="24" t="s">
        <v>286</v>
      </c>
      <c r="L396" s="56">
        <f t="shared" si="26"/>
        <v>5427.77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4">
        <v>40000</v>
      </c>
      <c r="H397" s="18">
        <v>1804.08</v>
      </c>
      <c r="I397" s="18"/>
      <c r="J397" s="24" t="s">
        <v>286</v>
      </c>
      <c r="K397" s="24" t="s">
        <v>286</v>
      </c>
      <c r="L397" s="56">
        <f t="shared" si="26"/>
        <v>41804.080000000002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7231.85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47231.850000000006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7231.85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47231.850000000006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186080.24</v>
      </c>
      <c r="G439" s="18">
        <v>107655.94</v>
      </c>
      <c r="H439" s="18"/>
      <c r="I439" s="56">
        <f t="shared" ref="I439:I445" si="33">SUM(F439:H439)</f>
        <v>293736.18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186080.24</v>
      </c>
      <c r="G446" s="13">
        <f>SUM(G439:G445)</f>
        <v>107655.94</v>
      </c>
      <c r="H446" s="13">
        <f>SUM(H439:H445)</f>
        <v>0</v>
      </c>
      <c r="I446" s="13">
        <f>SUM(I439:I445)</f>
        <v>293736.18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186080.24</v>
      </c>
      <c r="G459" s="18">
        <v>107655.94</v>
      </c>
      <c r="H459" s="18"/>
      <c r="I459" s="56">
        <f t="shared" si="34"/>
        <v>293736.18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186080.24</v>
      </c>
      <c r="G460" s="83">
        <f>SUM(G454:G459)</f>
        <v>107655.94</v>
      </c>
      <c r="H460" s="83">
        <f>SUM(H454:H459)</f>
        <v>0</v>
      </c>
      <c r="I460" s="83">
        <f>SUM(I454:I459)</f>
        <v>293736.18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186080.24</v>
      </c>
      <c r="G461" s="42">
        <f>G452+G460</f>
        <v>107655.94</v>
      </c>
      <c r="H461" s="42">
        <f>H452+H460</f>
        <v>0</v>
      </c>
      <c r="I461" s="42">
        <f>I452+I460</f>
        <v>293736.18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329884.63</v>
      </c>
      <c r="G465" s="18">
        <v>595.29</v>
      </c>
      <c r="H465" s="18"/>
      <c r="I465" s="18"/>
      <c r="J465" s="18">
        <v>246504.33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10607451.210000001</v>
      </c>
      <c r="G468" s="18">
        <v>172483.02</v>
      </c>
      <c r="H468" s="18">
        <v>118266.42</v>
      </c>
      <c r="I468" s="18"/>
      <c r="J468" s="18">
        <v>47231.85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10607451.210000001</v>
      </c>
      <c r="G470" s="53">
        <f>SUM(G468:G469)</f>
        <v>172483.02</v>
      </c>
      <c r="H470" s="53">
        <f>SUM(H468:H469)</f>
        <v>118266.42</v>
      </c>
      <c r="I470" s="53">
        <f>SUM(I468:I469)</f>
        <v>0</v>
      </c>
      <c r="J470" s="53">
        <f>SUM(J468:J469)</f>
        <v>47231.85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10630016.98</v>
      </c>
      <c r="G472" s="18">
        <v>173078.31</v>
      </c>
      <c r="H472" s="18">
        <v>115573.46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10630016.98</v>
      </c>
      <c r="G474" s="53">
        <f>SUM(G472:G473)</f>
        <v>173078.31</v>
      </c>
      <c r="H474" s="53">
        <f>SUM(H472:H473)</f>
        <v>115573.46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307318.86000000127</v>
      </c>
      <c r="G476" s="53">
        <f>(G465+G470)- G474</f>
        <v>0</v>
      </c>
      <c r="H476" s="53">
        <f>(H465+H470)- H474</f>
        <v>2692.9599999999919</v>
      </c>
      <c r="I476" s="53">
        <f>(I465+I470)- I474</f>
        <v>0</v>
      </c>
      <c r="J476" s="53">
        <f>(J465+J470)- J474</f>
        <v>293736.18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</f>
        <v>828241.62</v>
      </c>
      <c r="G521" s="18">
        <f t="shared" ref="G521:K521" si="36">G198</f>
        <v>431100.48</v>
      </c>
      <c r="H521" s="18">
        <f t="shared" si="36"/>
        <v>488376.36</v>
      </c>
      <c r="I521" s="18">
        <f t="shared" si="36"/>
        <v>5733.46</v>
      </c>
      <c r="J521" s="18">
        <f t="shared" si="36"/>
        <v>11862.84</v>
      </c>
      <c r="K521" s="18">
        <f t="shared" si="36"/>
        <v>0</v>
      </c>
      <c r="L521" s="88">
        <f>SUM(F521:K521)</f>
        <v>1765314.76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H234</f>
        <v>294092.78000000003</v>
      </c>
      <c r="I523" s="18">
        <f>H234</f>
        <v>294092.78000000003</v>
      </c>
      <c r="J523" s="18"/>
      <c r="K523" s="18"/>
      <c r="L523" s="88">
        <f>SUM(F523:K523)</f>
        <v>588185.56000000006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828241.62</v>
      </c>
      <c r="G524" s="108">
        <f t="shared" ref="G524:L524" si="37">SUM(G521:G523)</f>
        <v>431100.48</v>
      </c>
      <c r="H524" s="108">
        <f t="shared" si="37"/>
        <v>782469.14</v>
      </c>
      <c r="I524" s="108">
        <f t="shared" si="37"/>
        <v>299826.24000000005</v>
      </c>
      <c r="J524" s="108">
        <f t="shared" si="37"/>
        <v>11862.84</v>
      </c>
      <c r="K524" s="108">
        <f t="shared" si="37"/>
        <v>0</v>
      </c>
      <c r="L524" s="89">
        <f t="shared" si="37"/>
        <v>2353500.3200000003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H202</f>
        <v>355299.59</v>
      </c>
      <c r="I526" s="18"/>
      <c r="J526" s="18"/>
      <c r="K526" s="18"/>
      <c r="L526" s="88">
        <f>SUM(F526:K526)</f>
        <v>355299.59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H238</f>
        <v>188490.5</v>
      </c>
      <c r="I528" s="18"/>
      <c r="J528" s="18"/>
      <c r="K528" s="18"/>
      <c r="L528" s="88">
        <f>SUM(F528:K528)</f>
        <v>188490.5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543790.09000000008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543790.09000000008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13624.84</v>
      </c>
      <c r="G531" s="18">
        <v>6278.34</v>
      </c>
      <c r="H531" s="18"/>
      <c r="I531" s="18"/>
      <c r="J531" s="18"/>
      <c r="K531" s="18"/>
      <c r="L531" s="88">
        <f>SUM(F531:K531)</f>
        <v>19903.18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3406.21</v>
      </c>
      <c r="G533" s="18">
        <v>1569.59</v>
      </c>
      <c r="H533" s="18"/>
      <c r="I533" s="18"/>
      <c r="J533" s="18"/>
      <c r="K533" s="18"/>
      <c r="L533" s="88">
        <f>SUM(F533:K533)</f>
        <v>4975.8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17031.05</v>
      </c>
      <c r="G534" s="89">
        <f t="shared" ref="G534:L534" si="39">SUM(G531:G533)</f>
        <v>7847.93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24878.98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148378.64000000001</v>
      </c>
      <c r="I541" s="18"/>
      <c r="J541" s="18"/>
      <c r="K541" s="18"/>
      <c r="L541" s="88">
        <f>SUM(F541:K541)</f>
        <v>148378.64000000001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88176.21</v>
      </c>
      <c r="I543" s="18"/>
      <c r="J543" s="18"/>
      <c r="K543" s="18"/>
      <c r="L543" s="88">
        <f>SUM(F543:K543)</f>
        <v>88176.21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236554.85000000003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236554.85000000003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845272.67</v>
      </c>
      <c r="G545" s="89">
        <f t="shared" ref="G545:L545" si="42">G524+G529+G534+G539+G544</f>
        <v>438948.41</v>
      </c>
      <c r="H545" s="89">
        <f t="shared" si="42"/>
        <v>1562814.08</v>
      </c>
      <c r="I545" s="89">
        <f t="shared" si="42"/>
        <v>299826.24000000005</v>
      </c>
      <c r="J545" s="89">
        <f t="shared" si="42"/>
        <v>11862.84</v>
      </c>
      <c r="K545" s="89">
        <f t="shared" si="42"/>
        <v>0</v>
      </c>
      <c r="L545" s="89">
        <f t="shared" si="42"/>
        <v>3158724.24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1765314.76</v>
      </c>
      <c r="G549" s="87">
        <f>L526</f>
        <v>355299.59</v>
      </c>
      <c r="H549" s="87">
        <f>L531</f>
        <v>19903.18</v>
      </c>
      <c r="I549" s="87">
        <f>L536</f>
        <v>0</v>
      </c>
      <c r="J549" s="87">
        <f>L541</f>
        <v>148378.64000000001</v>
      </c>
      <c r="K549" s="87">
        <f>SUM(F549:J549)</f>
        <v>2288896.1700000004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588185.56000000006</v>
      </c>
      <c r="G551" s="87">
        <f>L528</f>
        <v>188490.5</v>
      </c>
      <c r="H551" s="87">
        <f>L533</f>
        <v>4975.8</v>
      </c>
      <c r="I551" s="87">
        <f>L538</f>
        <v>0</v>
      </c>
      <c r="J551" s="87">
        <f>L543</f>
        <v>88176.21</v>
      </c>
      <c r="K551" s="87">
        <f>SUM(F551:J551)</f>
        <v>869828.07000000007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2353500.3200000003</v>
      </c>
      <c r="G552" s="89">
        <f t="shared" si="43"/>
        <v>543790.09000000008</v>
      </c>
      <c r="H552" s="89">
        <f t="shared" si="43"/>
        <v>24878.98</v>
      </c>
      <c r="I552" s="89">
        <f t="shared" si="43"/>
        <v>0</v>
      </c>
      <c r="J552" s="89">
        <f t="shared" si="43"/>
        <v>236554.85000000003</v>
      </c>
      <c r="K552" s="89">
        <f t="shared" si="43"/>
        <v>3158724.24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2195903.84</v>
      </c>
      <c r="I575" s="87">
        <f>SUM(F575:H575)</f>
        <v>2195903.84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214190.32</v>
      </c>
      <c r="G579" s="18"/>
      <c r="H579" s="18">
        <v>76623.259999999995</v>
      </c>
      <c r="I579" s="87">
        <f t="shared" si="48"/>
        <v>290813.58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110370.1</v>
      </c>
      <c r="G580" s="18"/>
      <c r="H580" s="18">
        <v>2821.4</v>
      </c>
      <c r="I580" s="87">
        <f t="shared" si="48"/>
        <v>113191.5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175747.66</v>
      </c>
      <c r="I581" s="87">
        <f t="shared" si="48"/>
        <v>175747.66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36387</v>
      </c>
      <c r="G582" s="18"/>
      <c r="H582" s="18">
        <v>28820.46</v>
      </c>
      <c r="I582" s="87">
        <f t="shared" si="48"/>
        <v>65207.46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57724.63</v>
      </c>
      <c r="G583" s="18"/>
      <c r="H583" s="18">
        <v>10080</v>
      </c>
      <c r="I583" s="87">
        <f t="shared" si="48"/>
        <v>67804.63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350250.1</v>
      </c>
      <c r="I591" s="18"/>
      <c r="J591" s="18"/>
      <c r="K591" s="104">
        <f t="shared" ref="K591:K597" si="49">SUM(H591:J591)</f>
        <v>350250.1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148378.64000000001</v>
      </c>
      <c r="I592" s="18"/>
      <c r="J592" s="18">
        <v>88176.21</v>
      </c>
      <c r="K592" s="104">
        <f t="shared" si="49"/>
        <v>236554.85000000003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5800</v>
      </c>
      <c r="I594" s="18"/>
      <c r="J594" s="18"/>
      <c r="K594" s="104">
        <f t="shared" si="49"/>
        <v>5800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8938.26</v>
      </c>
      <c r="I595" s="18"/>
      <c r="J595" s="18"/>
      <c r="K595" s="104">
        <f t="shared" si="49"/>
        <v>8938.26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513367</v>
      </c>
      <c r="I598" s="108">
        <f>SUM(I591:I597)</f>
        <v>0</v>
      </c>
      <c r="J598" s="108">
        <f>SUM(J591:J597)</f>
        <v>88176.21</v>
      </c>
      <c r="K598" s="108">
        <f>SUM(K591:K597)</f>
        <v>601543.21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J271+J338</f>
        <v>92051.11</v>
      </c>
      <c r="I604" s="18"/>
      <c r="J604" s="18"/>
      <c r="K604" s="104">
        <f>SUM(H604:J604)</f>
        <v>92051.11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92051.11</v>
      </c>
      <c r="I605" s="108">
        <f>SUM(I602:I604)</f>
        <v>0</v>
      </c>
      <c r="J605" s="108">
        <f>SUM(J602:J604)</f>
        <v>0</v>
      </c>
      <c r="K605" s="108">
        <f>SUM(K602:K604)</f>
        <v>92051.11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1226950.68</v>
      </c>
      <c r="H617" s="109">
        <f>SUM(F52)</f>
        <v>1226950.68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18400.02</v>
      </c>
      <c r="H618" s="109">
        <f>SUM(G52)</f>
        <v>18400.02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23935.91</v>
      </c>
      <c r="H619" s="109">
        <f>SUM(H52)</f>
        <v>23935.91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293736.18</v>
      </c>
      <c r="H621" s="109">
        <f>SUM(J52)</f>
        <v>293736.18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307318.86</v>
      </c>
      <c r="H622" s="109">
        <f>F476</f>
        <v>307318.86000000127</v>
      </c>
      <c r="I622" s="121" t="s">
        <v>101</v>
      </c>
      <c r="J622" s="109">
        <f t="shared" ref="J622:J655" si="51">G622-H622</f>
        <v>-1.280568540096283E-9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2692.96</v>
      </c>
      <c r="H624" s="109">
        <f>H476</f>
        <v>2692.9599999999919</v>
      </c>
      <c r="I624" s="121" t="s">
        <v>103</v>
      </c>
      <c r="J624" s="109">
        <f t="shared" si="51"/>
        <v>8.1854523159563541E-12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293736.18</v>
      </c>
      <c r="H626" s="109">
        <f>J476</f>
        <v>293736.18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10607451.209999999</v>
      </c>
      <c r="H627" s="104">
        <f>SUM(F468)</f>
        <v>10607451.210000001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172483.02</v>
      </c>
      <c r="H628" s="104">
        <f>SUM(G468)</f>
        <v>172483.02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118266.42</v>
      </c>
      <c r="H629" s="104">
        <f>SUM(H468)</f>
        <v>118266.42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47231.85</v>
      </c>
      <c r="H631" s="104">
        <f>SUM(J468)</f>
        <v>47231.85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10630016.98</v>
      </c>
      <c r="H632" s="104">
        <f>SUM(F472)</f>
        <v>10630016.98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115573.46</v>
      </c>
      <c r="H633" s="104">
        <f>SUM(H472)</f>
        <v>115573.46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53831.56</v>
      </c>
      <c r="H634" s="104">
        <f>I369</f>
        <v>53831.56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173078.31</v>
      </c>
      <c r="H635" s="104">
        <f>SUM(G472)</f>
        <v>173078.31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47231.850000000006</v>
      </c>
      <c r="H637" s="164">
        <f>SUM(J468)</f>
        <v>47231.85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186080.24</v>
      </c>
      <c r="H639" s="104">
        <f>SUM(F461)</f>
        <v>186080.24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107655.94</v>
      </c>
      <c r="H640" s="104">
        <f>SUM(G461)</f>
        <v>107655.94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293736.18</v>
      </c>
      <c r="H642" s="104">
        <f>SUM(I461)</f>
        <v>293736.18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7231.85</v>
      </c>
      <c r="H644" s="104">
        <f>H408</f>
        <v>7231.85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40000</v>
      </c>
      <c r="H645" s="104">
        <f>G408</f>
        <v>40000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47231.85</v>
      </c>
      <c r="H646" s="104">
        <f>L408</f>
        <v>47231.850000000006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601543.21</v>
      </c>
      <c r="H647" s="104">
        <f>L208+L226+L244</f>
        <v>601543.21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92051.11</v>
      </c>
      <c r="H648" s="104">
        <f>(J257+J338)-(J255+J336)</f>
        <v>92051.11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513367</v>
      </c>
      <c r="H649" s="104">
        <f>H598</f>
        <v>513367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88176.21</v>
      </c>
      <c r="H651" s="104">
        <f>J598</f>
        <v>88176.21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11205.56</v>
      </c>
      <c r="H652" s="104">
        <f>K263+K345</f>
        <v>11205.56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40000</v>
      </c>
      <c r="H655" s="104">
        <f>K266+K347</f>
        <v>40000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8076504.46</v>
      </c>
      <c r="G660" s="19">
        <f>(L229+L309+L359)</f>
        <v>0</v>
      </c>
      <c r="H660" s="19">
        <f>(L247+L328+L360)</f>
        <v>2766663.33</v>
      </c>
      <c r="I660" s="19">
        <f>SUM(F660:H660)</f>
        <v>10843167.789999999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87945.23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87945.23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513367</v>
      </c>
      <c r="G662" s="19">
        <f>(L226+L306)-(J226+J306)</f>
        <v>0</v>
      </c>
      <c r="H662" s="19">
        <f>(L244+L325)-(J244+J325)</f>
        <v>88176.21</v>
      </c>
      <c r="I662" s="19">
        <f>SUM(F662:H662)</f>
        <v>601543.21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510723.16000000003</v>
      </c>
      <c r="G663" s="199">
        <f>SUM(G575:G587)+SUM(I602:I604)+L612</f>
        <v>0</v>
      </c>
      <c r="H663" s="199">
        <f>SUM(H575:H587)+SUM(J602:J604)+L613</f>
        <v>2489996.6199999996</v>
      </c>
      <c r="I663" s="19">
        <f>SUM(F663:H663)</f>
        <v>3000719.78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6964469.0700000003</v>
      </c>
      <c r="G664" s="19">
        <f>G660-SUM(G661:G663)</f>
        <v>0</v>
      </c>
      <c r="H664" s="19">
        <f>H660-SUM(H661:H663)</f>
        <v>188490.50000000047</v>
      </c>
      <c r="I664" s="19">
        <f>I660-SUM(I661:I663)</f>
        <v>7152959.5699999994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413.7</v>
      </c>
      <c r="G665" s="248"/>
      <c r="H665" s="248"/>
      <c r="I665" s="19">
        <f>SUM(F665:H665)</f>
        <v>413.7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16834.59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17290.21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-188490.5</v>
      </c>
      <c r="I669" s="19">
        <f>SUM(F669:H669)</f>
        <v>-188490.5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16834.59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16834.59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B19" sqref="B19: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EPSOM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2109979.29</v>
      </c>
      <c r="C9" s="229">
        <f>'DOE25'!G197+'DOE25'!G215+'DOE25'!G233+'DOE25'!G276+'DOE25'!G295+'DOE25'!G314</f>
        <v>1062359.55</v>
      </c>
    </row>
    <row r="10" spans="1:3" x14ac:dyDescent="0.2">
      <c r="A10" t="s">
        <v>773</v>
      </c>
      <c r="B10" s="240">
        <v>1932913.12</v>
      </c>
      <c r="C10" s="240">
        <v>973207.99</v>
      </c>
    </row>
    <row r="11" spans="1:3" x14ac:dyDescent="0.2">
      <c r="A11" t="s">
        <v>774</v>
      </c>
      <c r="B11" s="240">
        <v>100233.67</v>
      </c>
      <c r="C11" s="240">
        <v>50466.94</v>
      </c>
    </row>
    <row r="12" spans="1:3" x14ac:dyDescent="0.2">
      <c r="A12" t="s">
        <v>775</v>
      </c>
      <c r="B12" s="240">
        <v>76832.5</v>
      </c>
      <c r="C12" s="240">
        <v>38684.620000000003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2109979.29</v>
      </c>
      <c r="C13" s="231">
        <f>SUM(C10:C12)</f>
        <v>1062359.55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828241.62</v>
      </c>
      <c r="C18" s="229">
        <f>'DOE25'!G198+'DOE25'!G216+'DOE25'!G234+'DOE25'!G277+'DOE25'!G296+'DOE25'!G315</f>
        <v>431100.48</v>
      </c>
    </row>
    <row r="19" spans="1:3" x14ac:dyDescent="0.2">
      <c r="A19" t="s">
        <v>773</v>
      </c>
      <c r="B19" s="240">
        <v>341530.47</v>
      </c>
      <c r="C19" s="240">
        <v>177766.91</v>
      </c>
    </row>
    <row r="20" spans="1:3" x14ac:dyDescent="0.2">
      <c r="A20" t="s">
        <v>774</v>
      </c>
      <c r="B20" s="240">
        <v>415098.15</v>
      </c>
      <c r="C20" s="240">
        <v>216058.95</v>
      </c>
    </row>
    <row r="21" spans="1:3" x14ac:dyDescent="0.2">
      <c r="A21" t="s">
        <v>775</v>
      </c>
      <c r="B21" s="240">
        <v>71613</v>
      </c>
      <c r="C21" s="240">
        <v>37274.620000000003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828241.62</v>
      </c>
      <c r="C22" s="231">
        <f>SUM(C19:C21)</f>
        <v>431100.48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40758.99</v>
      </c>
      <c r="C36" s="235">
        <f>'DOE25'!G200+'DOE25'!G218+'DOE25'!G236+'DOE25'!G279+'DOE25'!G298+'DOE25'!G317</f>
        <v>21215.09</v>
      </c>
    </row>
    <row r="37" spans="1:3" x14ac:dyDescent="0.2">
      <c r="A37" t="s">
        <v>773</v>
      </c>
      <c r="B37" s="240">
        <v>40758.99</v>
      </c>
      <c r="C37" s="240">
        <v>21215.09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40758.99</v>
      </c>
      <c r="C40" s="231">
        <f>SUM(C37:C39)</f>
        <v>21215.09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R595" sqref="R595"/>
      <selection pane="bottomLeft" activeCell="R595" sqref="R59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EPSOM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7566480.3700000001</v>
      </c>
      <c r="D5" s="20">
        <f>SUM('DOE25'!L197:L200)+SUM('DOE25'!L215:L218)+SUM('DOE25'!L233:L236)-F5-G5</f>
        <v>7484981.2199999997</v>
      </c>
      <c r="E5" s="243"/>
      <c r="F5" s="255">
        <f>SUM('DOE25'!J197:J200)+SUM('DOE25'!J215:J218)+SUM('DOE25'!J233:J236)</f>
        <v>81079.149999999994</v>
      </c>
      <c r="G5" s="53">
        <f>SUM('DOE25'!K197:K200)+SUM('DOE25'!K215:K218)+SUM('DOE25'!K233:K236)</f>
        <v>420</v>
      </c>
      <c r="H5" s="259"/>
    </row>
    <row r="6" spans="1:9" x14ac:dyDescent="0.2">
      <c r="A6" s="32">
        <v>2100</v>
      </c>
      <c r="B6" t="s">
        <v>795</v>
      </c>
      <c r="C6" s="245">
        <f t="shared" si="0"/>
        <v>715421.38</v>
      </c>
      <c r="D6" s="20">
        <f>'DOE25'!L202+'DOE25'!L220+'DOE25'!L238-F6-G6</f>
        <v>715142.88</v>
      </c>
      <c r="E6" s="243"/>
      <c r="F6" s="255">
        <f>'DOE25'!J202+'DOE25'!J220+'DOE25'!J238</f>
        <v>0</v>
      </c>
      <c r="G6" s="53">
        <f>'DOE25'!K202+'DOE25'!K220+'DOE25'!K238</f>
        <v>278.5</v>
      </c>
      <c r="H6" s="259"/>
    </row>
    <row r="7" spans="1:9" x14ac:dyDescent="0.2">
      <c r="A7" s="32">
        <v>2200</v>
      </c>
      <c r="B7" t="s">
        <v>828</v>
      </c>
      <c r="C7" s="245">
        <f t="shared" si="0"/>
        <v>89793.69</v>
      </c>
      <c r="D7" s="20">
        <f>'DOE25'!L203+'DOE25'!L221+'DOE25'!L239-F7-G7</f>
        <v>89793.69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236296.46000000005</v>
      </c>
      <c r="D8" s="243"/>
      <c r="E8" s="20">
        <f>'DOE25'!L204+'DOE25'!L222+'DOE25'!L240-F8-G8-D9-D11</f>
        <v>232830.11000000004</v>
      </c>
      <c r="F8" s="255">
        <f>'DOE25'!J204+'DOE25'!J222+'DOE25'!J240</f>
        <v>0</v>
      </c>
      <c r="G8" s="53">
        <f>'DOE25'!K204+'DOE25'!K222+'DOE25'!K240</f>
        <v>3466.35</v>
      </c>
      <c r="H8" s="259"/>
    </row>
    <row r="9" spans="1:9" x14ac:dyDescent="0.2">
      <c r="A9" s="32">
        <v>2310</v>
      </c>
      <c r="B9" t="s">
        <v>812</v>
      </c>
      <c r="C9" s="245">
        <f t="shared" si="0"/>
        <v>6178</v>
      </c>
      <c r="D9" s="244">
        <v>6178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7270</v>
      </c>
      <c r="D10" s="243"/>
      <c r="E10" s="244">
        <v>7270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68988.479999999996</v>
      </c>
      <c r="D11" s="244">
        <v>68988.479999999996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599150.42000000004</v>
      </c>
      <c r="D12" s="20">
        <f>'DOE25'!L205+'DOE25'!L223+'DOE25'!L241-F12-G12</f>
        <v>596776.42000000004</v>
      </c>
      <c r="E12" s="243"/>
      <c r="F12" s="255">
        <f>'DOE25'!J205+'DOE25'!J223+'DOE25'!J241</f>
        <v>0</v>
      </c>
      <c r="G12" s="53">
        <f>'DOE25'!K205+'DOE25'!K223+'DOE25'!K241</f>
        <v>2374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670664.01</v>
      </c>
      <c r="D14" s="20">
        <f>'DOE25'!L207+'DOE25'!L225+'DOE25'!L243-F14-G14</f>
        <v>668118.15</v>
      </c>
      <c r="E14" s="243"/>
      <c r="F14" s="255">
        <f>'DOE25'!J207+'DOE25'!J225+'DOE25'!J243</f>
        <v>2545.86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601543.21</v>
      </c>
      <c r="D15" s="20">
        <f>'DOE25'!L208+'DOE25'!L226+'DOE25'!L244-F15-G15</f>
        <v>601543.21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123693.03</v>
      </c>
      <c r="D29" s="20">
        <f>'DOE25'!L358+'DOE25'!L359+'DOE25'!L360-'DOE25'!I367-F29-G29</f>
        <v>121507.14</v>
      </c>
      <c r="E29" s="243"/>
      <c r="F29" s="255">
        <f>'DOE25'!J358+'DOE25'!J359+'DOE25'!J360</f>
        <v>1375.39</v>
      </c>
      <c r="G29" s="53">
        <f>'DOE25'!K358+'DOE25'!K359+'DOE25'!K360</f>
        <v>810.5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115573.46</v>
      </c>
      <c r="D31" s="20">
        <f>'DOE25'!L290+'DOE25'!L309+'DOE25'!L328+'DOE25'!L333+'DOE25'!L334+'DOE25'!L335-F31-G31</f>
        <v>105001.67</v>
      </c>
      <c r="E31" s="243"/>
      <c r="F31" s="255">
        <f>'DOE25'!J290+'DOE25'!J309+'DOE25'!J328+'DOE25'!J333+'DOE25'!J334+'DOE25'!J335</f>
        <v>8426.1</v>
      </c>
      <c r="G31" s="53">
        <f>'DOE25'!K290+'DOE25'!K309+'DOE25'!K328+'DOE25'!K333+'DOE25'!K334+'DOE25'!K335</f>
        <v>2145.69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10458030.860000001</v>
      </c>
      <c r="E33" s="246">
        <f>SUM(E5:E31)</f>
        <v>240100.11000000004</v>
      </c>
      <c r="F33" s="246">
        <f>SUM(F5:F31)</f>
        <v>93426.5</v>
      </c>
      <c r="G33" s="246">
        <f>SUM(G5:G31)</f>
        <v>9495.0400000000009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240100.11000000004</v>
      </c>
      <c r="E35" s="249"/>
    </row>
    <row r="36" spans="2:8" ht="12" thickTop="1" x14ac:dyDescent="0.2">
      <c r="B36" t="s">
        <v>809</v>
      </c>
      <c r="D36" s="20">
        <f>D33</f>
        <v>10458030.860000001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R595" sqref="R595"/>
      <selection pane="bottomLeft" activeCell="R595" sqref="R59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1084366.93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293736.18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31569.31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111014.44</v>
      </c>
      <c r="D12" s="95">
        <f>'DOE25'!G13</f>
        <v>3679.04</v>
      </c>
      <c r="E12" s="95">
        <f>'DOE25'!H13</f>
        <v>21242.95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14720.98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2692.96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1226950.68</v>
      </c>
      <c r="D18" s="41">
        <f>SUM(D8:D17)</f>
        <v>18400.02</v>
      </c>
      <c r="E18" s="41">
        <f>SUM(E8:E17)</f>
        <v>23935.91</v>
      </c>
      <c r="F18" s="41">
        <f>SUM(F8:F17)</f>
        <v>0</v>
      </c>
      <c r="G18" s="41">
        <f>SUM(G8:G17)</f>
        <v>293736.18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18400.02</v>
      </c>
      <c r="E21" s="95">
        <f>'DOE25'!H22</f>
        <v>15862.25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584539.69999999995</v>
      </c>
      <c r="D22" s="95">
        <f>'DOE25'!G23</f>
        <v>0</v>
      </c>
      <c r="E22" s="95">
        <f>'DOE25'!H23</f>
        <v>5380.7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207280.1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127812.02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919631.82</v>
      </c>
      <c r="D31" s="41">
        <f>SUM(D21:D30)</f>
        <v>18400.02</v>
      </c>
      <c r="E31" s="41">
        <f>SUM(E21:E30)</f>
        <v>21242.95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2692.96</v>
      </c>
      <c r="F47" s="95">
        <f>'DOE25'!I48</f>
        <v>0</v>
      </c>
      <c r="G47" s="95">
        <f>'DOE25'!J48</f>
        <v>293736.18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242318.86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307318.86</v>
      </c>
      <c r="D50" s="41">
        <f>SUM(D34:D49)</f>
        <v>0</v>
      </c>
      <c r="E50" s="41">
        <f>SUM(E34:E49)</f>
        <v>2692.96</v>
      </c>
      <c r="F50" s="41">
        <f>SUM(F34:F49)</f>
        <v>0</v>
      </c>
      <c r="G50" s="41">
        <f>SUM(G34:G49)</f>
        <v>293736.18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1226950.68</v>
      </c>
      <c r="D51" s="41">
        <f>D50+D31</f>
        <v>18400.02</v>
      </c>
      <c r="E51" s="41">
        <f>E50+E31</f>
        <v>23935.91</v>
      </c>
      <c r="F51" s="41">
        <f>F50+F31</f>
        <v>0</v>
      </c>
      <c r="G51" s="41">
        <f>G50+G31</f>
        <v>293736.18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6807256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3529.8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7231.85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87910.23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79535.66</v>
      </c>
      <c r="D61" s="95">
        <f>SUM('DOE25'!G98:G110)</f>
        <v>35</v>
      </c>
      <c r="E61" s="95">
        <f>SUM('DOE25'!H98:H110)</f>
        <v>3000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84065.46</v>
      </c>
      <c r="D62" s="130">
        <f>SUM(D57:D61)</f>
        <v>87945.23</v>
      </c>
      <c r="E62" s="130">
        <f>SUM(E57:E61)</f>
        <v>3000</v>
      </c>
      <c r="F62" s="130">
        <f>SUM(F57:F61)</f>
        <v>0</v>
      </c>
      <c r="G62" s="130">
        <f>SUM(G57:G61)</f>
        <v>7231.85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6891321.46</v>
      </c>
      <c r="D63" s="22">
        <f>D56+D62</f>
        <v>87945.23</v>
      </c>
      <c r="E63" s="22">
        <f>E56+E62</f>
        <v>3000</v>
      </c>
      <c r="F63" s="22">
        <f>F56+F62</f>
        <v>0</v>
      </c>
      <c r="G63" s="22">
        <f>G56+G62</f>
        <v>7231.85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2492850.64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935001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8165.88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3436017.52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77612.95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2510.17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77612.95</v>
      </c>
      <c r="D78" s="130">
        <f>SUM(D72:D77)</f>
        <v>2510.17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3513630.47</v>
      </c>
      <c r="D81" s="130">
        <f>SUM(D79:D80)+D78+D70</f>
        <v>2510.17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202499.28</v>
      </c>
      <c r="D88" s="95">
        <f>SUM('DOE25'!G153:G161)</f>
        <v>70822.06</v>
      </c>
      <c r="E88" s="95">
        <f>SUM('DOE25'!H153:H161)</f>
        <v>115266.42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202499.28</v>
      </c>
      <c r="D91" s="131">
        <f>SUM(D85:D90)</f>
        <v>70822.06</v>
      </c>
      <c r="E91" s="131">
        <f>SUM(E85:E90)</f>
        <v>115266.42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11205.56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11205.56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759</v>
      </c>
      <c r="C104" s="86">
        <f>C63+C81+C91+C103</f>
        <v>10607451.209999999</v>
      </c>
      <c r="D104" s="86">
        <f>D63+D81+D91+D103</f>
        <v>172483.02</v>
      </c>
      <c r="E104" s="86">
        <f>E63+E81+E91+E103</f>
        <v>118266.42</v>
      </c>
      <c r="F104" s="86">
        <f>F63+F81+F91+F103</f>
        <v>0</v>
      </c>
      <c r="G104" s="86">
        <f>G63+G81+G103</f>
        <v>47231.85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5439254.0700000003</v>
      </c>
      <c r="D109" s="24" t="s">
        <v>286</v>
      </c>
      <c r="E109" s="95">
        <f>('DOE25'!L276)+('DOE25'!L295)+('DOE25'!L314)</f>
        <v>101779.38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2059407.54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67818.759999999995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7566480.3700000001</v>
      </c>
      <c r="D115" s="86">
        <f>SUM(D109:D114)</f>
        <v>0</v>
      </c>
      <c r="E115" s="86">
        <f>SUM(E109:E114)</f>
        <v>101779.38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715421.38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89793.69</v>
      </c>
      <c r="D119" s="24" t="s">
        <v>286</v>
      </c>
      <c r="E119" s="95">
        <f>+('DOE25'!L282)+('DOE25'!L301)+('DOE25'!L320)</f>
        <v>11091.35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311462.94</v>
      </c>
      <c r="D120" s="24" t="s">
        <v>286</v>
      </c>
      <c r="E120" s="95">
        <f>+('DOE25'!L283)+('DOE25'!L302)+('DOE25'!L321)</f>
        <v>2145.69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599150.42000000004</v>
      </c>
      <c r="D121" s="24" t="s">
        <v>286</v>
      </c>
      <c r="E121" s="95">
        <f>+('DOE25'!L284)+('DOE25'!L303)+('DOE25'!L322)</f>
        <v>250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670664.01</v>
      </c>
      <c r="D123" s="24" t="s">
        <v>286</v>
      </c>
      <c r="E123" s="95">
        <f>+('DOE25'!L286)+('DOE25'!L305)+('DOE25'!L324)</f>
        <v>307.04000000000002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601543.21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173078.31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2988035.6500000004</v>
      </c>
      <c r="D128" s="86">
        <f>SUM(D118:D127)</f>
        <v>173078.31</v>
      </c>
      <c r="E128" s="86">
        <f>SUM(E118:E127)</f>
        <v>13794.080000000002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11205.56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47231.850000000006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-7231.8500000000058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24295.4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75500.959999999992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10630016.98</v>
      </c>
      <c r="D145" s="86">
        <f>(D115+D128+D144)</f>
        <v>173078.31</v>
      </c>
      <c r="E145" s="86">
        <f>(E115+E128+E144)</f>
        <v>115573.46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R595" sqref="R59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EPSOM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16835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16835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5541033</v>
      </c>
      <c r="D10" s="182">
        <f>ROUND((C10/$C$28)*100,1)</f>
        <v>51.4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2059408</v>
      </c>
      <c r="D11" s="182">
        <f>ROUND((C11/$C$28)*100,1)</f>
        <v>19.100000000000001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67819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715421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100885</v>
      </c>
      <c r="D16" s="182">
        <f t="shared" si="0"/>
        <v>0.9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313609</v>
      </c>
      <c r="D17" s="182">
        <f t="shared" si="0"/>
        <v>2.9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599400</v>
      </c>
      <c r="D18" s="182">
        <f t="shared" si="0"/>
        <v>5.6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670971</v>
      </c>
      <c r="D20" s="182">
        <f t="shared" si="0"/>
        <v>6.2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601543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24295.4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85132.77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10779517.17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10779517.17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6807256</v>
      </c>
      <c r="D35" s="182">
        <f t="shared" ref="D35:D40" si="1">ROUND((C35/$C$41)*100,1)</f>
        <v>63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94297.30999999959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3427852</v>
      </c>
      <c r="D37" s="182">
        <f t="shared" si="1"/>
        <v>31.7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88289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388588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10806282.309999999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R595" sqref="R595"/>
      <selection pane="bottomLeft" activeCell="R595" sqref="R59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EPSOM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2018-09-25T11:55:57Z</cp:lastPrinted>
  <dcterms:created xsi:type="dcterms:W3CDTF">1997-12-04T19:04:30Z</dcterms:created>
  <dcterms:modified xsi:type="dcterms:W3CDTF">2018-11-13T19:37:18Z</dcterms:modified>
</cp:coreProperties>
</file>