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C110" i="2" s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D7" i="13" s="1"/>
  <c r="C7" i="13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C15" i="10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C58" i="2" s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6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C119" i="2"/>
  <c r="E119" i="2"/>
  <c r="E120" i="2"/>
  <c r="E121" i="2"/>
  <c r="C122" i="2"/>
  <c r="E122" i="2"/>
  <c r="C123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I369" i="1" s="1"/>
  <c r="H634" i="1" s="1"/>
  <c r="J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640" i="1" s="1"/>
  <c r="J640" i="1" s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2" i="1"/>
  <c r="H642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I257" i="1"/>
  <c r="I271" i="1" s="1"/>
  <c r="C26" i="10"/>
  <c r="L328" i="1"/>
  <c r="H660" i="1" s="1"/>
  <c r="L351" i="1"/>
  <c r="I662" i="1"/>
  <c r="L290" i="1"/>
  <c r="A31" i="12"/>
  <c r="C70" i="2"/>
  <c r="A40" i="12"/>
  <c r="D12" i="13"/>
  <c r="C12" i="13" s="1"/>
  <c r="D18" i="13"/>
  <c r="C18" i="13" s="1"/>
  <c r="D15" i="13"/>
  <c r="C15" i="13" s="1"/>
  <c r="D18" i="2"/>
  <c r="D17" i="13"/>
  <c r="C17" i="13" s="1"/>
  <c r="D6" i="13"/>
  <c r="C6" i="13" s="1"/>
  <c r="E8" i="13"/>
  <c r="C8" i="13" s="1"/>
  <c r="F78" i="2"/>
  <c r="D31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639" i="1"/>
  <c r="J571" i="1"/>
  <c r="K571" i="1"/>
  <c r="L433" i="1"/>
  <c r="L419" i="1"/>
  <c r="D81" i="2"/>
  <c r="I169" i="1"/>
  <c r="H169" i="1"/>
  <c r="J643" i="1"/>
  <c r="J476" i="1"/>
  <c r="H626" i="1" s="1"/>
  <c r="F476" i="1"/>
  <c r="H622" i="1" s="1"/>
  <c r="J622" i="1" s="1"/>
  <c r="G338" i="1"/>
  <c r="G352" i="1" s="1"/>
  <c r="F169" i="1"/>
  <c r="J140" i="1"/>
  <c r="I552" i="1"/>
  <c r="K550" i="1"/>
  <c r="G22" i="2"/>
  <c r="K545" i="1"/>
  <c r="J552" i="1"/>
  <c r="H552" i="1"/>
  <c r="C29" i="10"/>
  <c r="H140" i="1"/>
  <c r="L401" i="1"/>
  <c r="C139" i="2" s="1"/>
  <c r="L393" i="1"/>
  <c r="C138" i="2" s="1"/>
  <c r="A13" i="12"/>
  <c r="F22" i="13"/>
  <c r="H25" i="13"/>
  <c r="C25" i="13" s="1"/>
  <c r="J651" i="1"/>
  <c r="H571" i="1"/>
  <c r="L560" i="1"/>
  <c r="H338" i="1"/>
  <c r="H352" i="1" s="1"/>
  <c r="F338" i="1"/>
  <c r="F352" i="1" s="1"/>
  <c r="G192" i="1"/>
  <c r="H192" i="1"/>
  <c r="C35" i="10"/>
  <c r="L309" i="1"/>
  <c r="E16" i="13"/>
  <c r="J655" i="1"/>
  <c r="J645" i="1"/>
  <c r="L570" i="1"/>
  <c r="I545" i="1"/>
  <c r="G36" i="2"/>
  <c r="L565" i="1"/>
  <c r="G545" i="1"/>
  <c r="K551" i="1"/>
  <c r="C22" i="13"/>
  <c r="C16" i="13"/>
  <c r="F81" i="2" l="1"/>
  <c r="H545" i="1"/>
  <c r="L545" i="1"/>
  <c r="K549" i="1"/>
  <c r="K552" i="1" s="1"/>
  <c r="K598" i="1"/>
  <c r="G647" i="1" s="1"/>
  <c r="J647" i="1" s="1"/>
  <c r="J649" i="1"/>
  <c r="J644" i="1"/>
  <c r="I476" i="1"/>
  <c r="H625" i="1" s="1"/>
  <c r="J625" i="1" s="1"/>
  <c r="J636" i="1"/>
  <c r="H476" i="1"/>
  <c r="H624" i="1" s="1"/>
  <c r="J624" i="1" s="1"/>
  <c r="G476" i="1"/>
  <c r="H623" i="1" s="1"/>
  <c r="J623" i="1" s="1"/>
  <c r="E118" i="2"/>
  <c r="E128" i="2" s="1"/>
  <c r="D127" i="2"/>
  <c r="D128" i="2" s="1"/>
  <c r="D145" i="2" s="1"/>
  <c r="H661" i="1"/>
  <c r="H664" i="1" s="1"/>
  <c r="L362" i="1"/>
  <c r="G635" i="1" s="1"/>
  <c r="J635" i="1" s="1"/>
  <c r="C131" i="2"/>
  <c r="H33" i="13"/>
  <c r="C121" i="2"/>
  <c r="C120" i="2"/>
  <c r="E33" i="13"/>
  <c r="D35" i="13" s="1"/>
  <c r="D5" i="13"/>
  <c r="C5" i="13" s="1"/>
  <c r="C109" i="2"/>
  <c r="C115" i="2" s="1"/>
  <c r="L211" i="1"/>
  <c r="L257" i="1" s="1"/>
  <c r="L271" i="1" s="1"/>
  <c r="G632" i="1" s="1"/>
  <c r="J632" i="1" s="1"/>
  <c r="D62" i="2"/>
  <c r="D63" i="2" s="1"/>
  <c r="C78" i="2"/>
  <c r="C81" i="2" s="1"/>
  <c r="C62" i="2"/>
  <c r="C63" i="2" s="1"/>
  <c r="I52" i="1"/>
  <c r="H620" i="1" s="1"/>
  <c r="J617" i="1"/>
  <c r="C18" i="2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H646" i="1" l="1"/>
  <c r="I661" i="1"/>
  <c r="H672" i="1"/>
  <c r="C6" i="10" s="1"/>
  <c r="H667" i="1"/>
  <c r="G672" i="1"/>
  <c r="C5" i="10" s="1"/>
  <c r="C144" i="2"/>
  <c r="C128" i="2"/>
  <c r="F660" i="1"/>
  <c r="C104" i="2"/>
  <c r="F51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C145" i="2" l="1"/>
  <c r="F664" i="1"/>
  <c r="I660" i="1"/>
  <c r="I664" i="1" s="1"/>
  <c r="I672" i="1" s="1"/>
  <c r="C7" i="10" s="1"/>
  <c r="H656" i="1"/>
  <c r="D28" i="10"/>
  <c r="C41" i="10"/>
  <c r="D38" i="10" s="1"/>
  <c r="I667" i="1" l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<sst xmlns="http://schemas.openxmlformats.org/spreadsheetml/2006/main" count="3959" uniqueCount="915">
  <si>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</si>
  <si>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</si>
  <si>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</si>
  <si>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</si>
  <si>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</si>
  <si>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</si>
  <si>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</si>
  <si>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</si>
  <si>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</si>
  <si>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</si>
  <si>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</si>
  <si>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</si>
  <si>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</si>
  <si>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</si>
  <si>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</si>
  <si>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</si>
  <si>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</si>
  <si>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</si>
  <si>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</si>
  <si>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</si>
  <si>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</si>
  <si>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</si>
  <si>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</si>
  <si>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</si>
  <si>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</si>
  <si>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</si>
  <si>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</si>
  <si>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</si>
  <si>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</si>
  <si>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</si>
  <si>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</si>
  <si>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</si>
  <si>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</si>
  <si>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</si>
  <si>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</si>
  <si>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</si>
  <si>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</si>
  <si>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</si>
  <si>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</si>
  <si>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</si>
  <si>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</si>
  <si>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</si>
  <si>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</si>
  <si>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</si>
  <si>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</si>
  <si>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</si>
  <si>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</si>
  <si>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</si>
  <si>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</si>
  <si>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</si>
  <si>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</si>
  <si>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</si>
  <si>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</si>
  <si>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</si>
  <si>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</si>
  <si>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</si>
  <si>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</si>
  <si>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</si>
  <si>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</si>
  <si>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</si>
  <si>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</si>
  <si>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</si>
  <si>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</si>
  <si>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</si>
  <si>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</si>
  <si>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</si>
  <si>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</si>
  <si>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</si>
  <si>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</si>
  <si>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</si>
  <si>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</si>
  <si>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</si>
  <si>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</si>
  <si>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</si>
  <si>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</si>
  <si>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</si>
  <si>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</si>
  <si>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</si>
  <si>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</si>
  <si>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</si>
  <si>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</si>
  <si>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</si>
  <si>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</si>
  <si>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</si>
  <si>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</si>
  <si>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</si>
  <si>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</si>
  <si>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</si>
  <si>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</si>
  <si>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</si>
  <si>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</si>
  <si>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</si>
  <si>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</si>
  <si>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</si>
  <si>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</si>
  <si>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</si>
  <si>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</si>
  <si>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</si>
  <si>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</si>
  <si>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</si>
  <si>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</si>
  <si>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</si>
  <si>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</si>
  <si>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</si>
  <si>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</si>
  <si>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</si>
  <si>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</si>
  <si>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</si>
  <si>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</si>
  <si>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</si>
  <si>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</si>
  <si>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</si>
  <si>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</si>
  <si>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</si>
  <si>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</si>
  <si>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</si>
  <si>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</si>
  <si>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</si>
  <si>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</si>
  <si>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</si>
  <si>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</si>
  <si>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</si>
  <si>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</si>
  <si>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</si>
  <si>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</si>
  <si>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</si>
  <si>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</si>
  <si>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</si>
  <si>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</si>
  <si>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</si>
  <si>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</si>
  <si>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</si>
  <si>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</si>
  <si>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</si>
  <si>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</si>
  <si>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</si>
  <si>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</si>
  <si>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</si>
  <si>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</si>
  <si>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</si>
  <si>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</si>
  <si>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</si>
  <si>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</si>
  <si>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</si>
  <si>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</si>
  <si>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</si>
  <si>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</si>
  <si>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</si>
  <si>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</si>
  <si>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</si>
  <si>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</si>
  <si>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</si>
  <si>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</si>
  <si>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</si>
  <si>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</si>
  <si>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</si>
  <si>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</si>
  <si>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</si>
  <si>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</si>
  <si>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</si>
  <si>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</si>
  <si>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</si>
  <si>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</si>
  <si>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</si>
  <si>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</si>
  <si>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</si>
  <si>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</si>
  <si>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</si>
  <si>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</si>
  <si>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</si>
  <si>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</si>
  <si>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</si>
  <si>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</si>
  <si>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</si>
  <si>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</si>
  <si>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</si>
  <si>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</si>
  <si>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</si>
  <si>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</si>
  <si>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</si>
  <si>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</si>
  <si>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</si>
  <si>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</si>
  <si>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</si>
  <si>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</si>
  <si>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</si>
  <si>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</si>
  <si>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</si>
  <si>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</si>
  <si>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</si>
  <si>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</si>
  <si>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</si>
  <si>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</si>
  <si>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</si>
  <si>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</si>
  <si>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</si>
  <si>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</si>
  <si>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</si>
  <si>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</si>
  <si>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</si>
  <si>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</si>
  <si>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</si>
  <si>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</si>
  <si>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</si>
  <si>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</si>
  <si>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</si>
  <si>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</si>
  <si>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</si>
  <si>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</si>
  <si>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</si>
  <si>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</si>
  <si>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</si>
  <si>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</si>
  <si>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</si>
  <si>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</si>
  <si>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</si>
  <si>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</si>
  <si>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</si>
  <si>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</si>
  <si>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</si>
  <si>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</si>
  <si>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</si>
  <si>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</si>
  <si>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</si>
  <si>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</si>
  <si>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</si>
  <si>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</si>
  <si>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</si>
  <si>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</si>
  <si>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</si>
  <si>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</si>
  <si>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</si>
  <si>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</si>
  <si>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</si>
  <si>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</si>
  <si>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</si>
  <si>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</si>
  <si>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</si>
  <si>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</si>
  <si>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</si>
  <si>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</si>
  <si>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</si>
  <si>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</si>
  <si>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</si>
  <si>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</si>
  <si>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</si>
  <si>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</si>
  <si>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</si>
  <si>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</si>
  <si>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</si>
  <si>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</si>
  <si>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</si>
  <si>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</si>
  <si>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</si>
  <si>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</si>
  <si>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</si>
  <si>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</si>
  <si>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</si>
  <si>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</si>
  <si>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</si>
  <si>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</si>
  <si>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</si>
  <si>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</si>
  <si>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</si>
  <si>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</si>
  <si>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</si>
  <si>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</si>
  <si>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</si>
  <si>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</si>
  <si>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</si>
  <si>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</si>
  <si>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</si>
  <si>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</si>
  <si>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</si>
  <si>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</si>
  <si>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</si>
  <si>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</si>
  <si>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</si>
  <si>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</si>
  <si>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</si>
  <si>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</si>
  <si>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</si>
  <si>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</si>
  <si>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</si>
  <si>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</si>
  <si>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</si>
  <si>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</si>
  <si>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</si>
  <si>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</si>
  <si>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</si>
  <si>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</si>
  <si>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</si>
  <si>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</si>
  <si>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</si>
  <si>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</si>
  <si>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</si>
  <si>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</si>
  <si>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</si>
  <si>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</si>
  <si>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</si>
  <si>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</si>
  <si>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</si>
  <si>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</si>
  <si>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</si>
  <si>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</si>
  <si>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</si>
  <si>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</si>
  <si>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</si>
  <si>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</si>
  <si>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</si>
  <si>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</si>
  <si>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</si>
  <si>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</si>
  <si>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</si>
  <si>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</si>
  <si>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</si>
  <si>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</si>
  <si>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</si>
  <si>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</si>
  <si>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</si>
  <si>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</si>
  <si>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</si>
  <si>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</si>
  <si>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</si>
  <si>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</si>
  <si>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</si>
  <si>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</si>
  <si>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</si>
  <si>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</si>
  <si>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</si>
  <si>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</si>
  <si>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</si>
  <si>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</si>
  <si>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</si>
  <si>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</si>
  <si>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</si>
  <si>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</si>
  <si>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</si>
  <si>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</si>
  <si>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</si>
  <si>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</si>
  <si>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</si>
  <si>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</si>
  <si>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</si>
  <si>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</si>
  <si>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</si>
  <si>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</si>
  <si>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</si>
  <si>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</si>
  <si>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</si>
  <si>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</si>
  <si>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</si>
  <si>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</si>
  <si>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</si>
  <si>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</si>
  <si>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</si>
  <si>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</si>
  <si>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</si>
  <si>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</si>
  <si>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</si>
  <si>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</si>
  <si>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</si>
  <si>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</si>
  <si>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</si>
  <si>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</si>
  <si>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</si>
  <si>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</si>
  <si>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</si>
  <si>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</si>
  <si>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</si>
  <si>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</si>
  <si>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</si>
  <si>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</si>
  <si>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</si>
  <si>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</si>
  <si>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</si>
  <si>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</si>
  <si>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</si>
  <si>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</si>
  <si>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</si>
  <si>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</si>
  <si>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</si>
  <si>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</si>
  <si>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</si>
  <si>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</si>
  <si>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</si>
  <si>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</si>
  <si>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</si>
  <si>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</si>
  <si>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</si>
  <si>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</si>
  <si>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</si>
  <si>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</si>
  <si>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</si>
  <si>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</si>
  <si>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</si>
  <si>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</si>
  <si>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</si>
  <si>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</si>
  <si>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</si>
  <si>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</si>
  <si>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</si>
  <si>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</si>
  <si>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</si>
  <si>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</si>
  <si>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</si>
  <si>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</si>
  <si>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</si>
  <si>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</si>
  <si>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</si>
  <si>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</si>
  <si>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</si>
  <si>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</si>
  <si>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</si>
  <si>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</si>
  <si>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</si>
  <si>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</si>
  <si>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</si>
  <si>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</si>
  <si>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</si>
  <si>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</si>
  <si>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</si>
  <si>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</si>
  <si>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</si>
  <si>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</si>
  <si>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</si>
  <si>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</si>
  <si>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</si>
  <si>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</si>
  <si>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</si>
  <si>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</si>
  <si>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</si>
  <si>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</si>
  <si>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</si>
  <si>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</si>
  <si>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</si>
  <si>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</si>
  <si>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</si>
  <si>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</si>
  <si>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</si>
  <si>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</si>
  <si>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</si>
  <si>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</si>
  <si>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</si>
  <si>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</si>
  <si>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</si>
  <si>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</si>
  <si>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</si>
  <si>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</si>
  <si>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</si>
  <si>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</si>
  <si>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</si>
  <si>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</si>
  <si>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</si>
  <si>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</si>
  <si>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</si>
  <si>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</si>
  <si>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</si>
  <si>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</si>
  <si>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</si>
  <si>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</si>
  <si>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</si>
  <si>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</si>
  <si>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</si>
  <si>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</si>
  <si>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</si>
  <si>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</si>
  <si>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</si>
  <si>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</si>
  <si>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</si>
  <si>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</si>
  <si>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</si>
  <si>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</si>
  <si>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</si>
  <si>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</si>
  <si>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</si>
  <si>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</si>
  <si>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</si>
  <si>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</si>
  <si>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</si>
  <si>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</si>
  <si>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</si>
  <si>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</si>
  <si>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</si>
  <si>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</si>
  <si>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</si>
  <si>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</si>
  <si>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</si>
  <si>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</si>
  <si>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</si>
  <si>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</si>
  <si>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</si>
  <si>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</si>
  <si>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</si>
  <si>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</si>
  <si>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</si>
  <si>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</si>
  <si>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</si>
  <si>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</si>
  <si>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</si>
  <si>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</si>
  <si>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</si>
  <si>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</si>
  <si>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</si>
  <si>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</si>
  <si>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</si>
  <si>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</si>
  <si>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</si>
  <si>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</si>
  <si>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</si>
  <si>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</si>
  <si>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</si>
  <si>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</si>
  <si>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</si>
  <si>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</si>
  <si>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</si>
  <si>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</si>
  <si>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</si>
  <si>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</si>
  <si>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</si>
  <si>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</si>
  <si>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</si>
  <si>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</si>
  <si>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</si>
  <si>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</si>
  <si>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</si>
  <si>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</si>
  <si>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</si>
  <si>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</si>
  <si>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</si>
  <si>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</si>
  <si>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</si>
  <si>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</si>
  <si>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</si>
  <si>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</si>
  <si>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</si>
  <si>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</si>
  <si>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</si>
  <si>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</si>
  <si>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</si>
  <si>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</si>
  <si>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</si>
  <si>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</si>
  <si>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</si>
  <si>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</si>
  <si>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</si>
  <si>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</si>
  <si>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</si>
  <si>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</si>
  <si>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</si>
  <si>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</si>
  <si>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</si>
  <si>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</si>
  <si>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</si>
  <si>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</si>
  <si>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</si>
  <si>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</si>
  <si>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</si>
  <si>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</si>
  <si>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</si>
  <si>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</si>
  <si>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</si>
  <si>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</si>
  <si>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</si>
  <si>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</si>
  <si>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</si>
  <si>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</si>
  <si>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</si>
  <si>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</si>
  <si>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</si>
  <si>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</si>
  <si>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</si>
  <si>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</si>
  <si>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</si>
  <si>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</si>
  <si>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</si>
  <si>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</si>
  <si>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</si>
  <si>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</si>
  <si>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</si>
  <si>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</si>
  <si>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</si>
  <si>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</si>
  <si>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</si>
  <si>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</si>
  <si>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</si>
  <si>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</si>
  <si>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</si>
  <si>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</si>
  <si>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</si>
  <si>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</si>
  <si>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</si>
  <si>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</si>
  <si>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</si>
  <si>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</si>
  <si>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</si>
  <si>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</si>
  <si>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</si>
  <si>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</si>
  <si>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</si>
  <si>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</si>
  <si>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</si>
  <si>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</si>
  <si>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</si>
  <si>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</si>
  <si>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</si>
  <si>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</si>
  <si>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</si>
  <si>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</si>
  <si>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</si>
  <si>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</si>
  <si>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</si>
  <si>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</si>
  <si>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</si>
  <si>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</si>
  <si>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</si>
  <si>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</si>
  <si>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</si>
  <si>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</si>
  <si>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</si>
  <si>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</si>
  <si>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</si>
  <si>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</si>
  <si>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</si>
  <si>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</si>
  <si>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</si>
  <si>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</si>
  <si>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</si>
  <si>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</si>
  <si>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</si>
  <si>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</si>
  <si>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</si>
  <si>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</si>
  <si>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</si>
  <si>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</si>
  <si>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</si>
  <si>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</si>
  <si>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</si>
  <si>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</si>
  <si>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</si>
  <si>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</si>
  <si>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</si>
  <si>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</si>
  <si>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</si>
  <si>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</si>
  <si>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</si>
  <si>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</si>
  <si>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</si>
  <si>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</si>
  <si>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</si>
  <si>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</si>
  <si>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</si>
  <si>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</si>
  <si>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</si>
  <si>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</si>
  <si>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</si>
  <si>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</si>
  <si>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</si>
  <si>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</si>
  <si>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</si>
  <si>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</si>
  <si>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</si>
  <si>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</si>
  <si>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</si>
  <si>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</si>
  <si>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</si>
  <si>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</si>
  <si>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</si>
  <si>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</si>
  <si>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</si>
  <si>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</si>
  <si>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</si>
  <si>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</si>
  <si>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</si>
  <si>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</si>
  <si>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</si>
  <si>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</si>
  <si>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</si>
  <si>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</si>
  <si>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</si>
  <si>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</si>
  <si>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</si>
  <si>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</si>
  <si>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</si>
  <si>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</si>
  <si>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</si>
  <si>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</si>
  <si>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</si>
  <si>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</si>
  <si>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</si>
  <si>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</si>
  <si>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</si>
  <si>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</si>
  <si>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</si>
  <si>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</si>
  <si>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</si>
  <si>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</si>
  <si>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</si>
  <si>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</si>
  <si>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</si>
  <si>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</si>
  <si>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</si>
  <si>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</si>
  <si>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</si>
  <si>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</si>
  <si>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</si>
  <si>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</si>
  <si>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</si>
  <si>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</si>
  <si>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</si>
  <si>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</si>
  <si>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</si>
  <si>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</si>
  <si>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</si>
  <si>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</si>
  <si>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</si>
  <si>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</si>
  <si>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</si>
  <si>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</si>
  <si>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</si>
  <si>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</si>
  <si>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</si>
  <si>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</si>
  <si>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</si>
  <si>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</si>
  <si>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</si>
  <si>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</si>
  <si>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</si>
  <si>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</si>
  <si>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</si>
  <si>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</si>
  <si>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</si>
  <si>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</si>
  <si>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</si>
  <si>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</si>
  <si>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</si>
  <si>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</si>
  <si>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</si>
  <si>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</si>
  <si>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</si>
  <si>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</si>
  <si>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</si>
  <si>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</si>
  <si>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</si>
  <si>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</si>
  <si>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</si>
  <si>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</si>
  <si>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</si>
  <si>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</si>
  <si>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</si>
  <si>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</si>
  <si>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</si>
  <si>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</si>
  <si>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</si>
  <si>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</si>
  <si>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</si>
  <si>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</si>
  <si>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</si>
  <si>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</si>
  <si>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</si>
  <si>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</si>
  <si>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</si>
  <si>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</si>
  <si>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</si>
  <si>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</si>
  <si>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</si>
  <si>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</si>
  <si>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</si>
  <si>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</si>
  <si>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</si>
  <si>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</si>
  <si>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</si>
  <si>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</si>
  <si>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</si>
  <si>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</si>
  <si>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</si>
  <si>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</si>
  <si>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</si>
  <si>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</si>
  <si>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</si>
  <si>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</si>
  <si>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</si>
  <si>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</si>
  <si>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</si>
  <si>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</si>
  <si>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</si>
  <si>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</si>
  <si>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</si>
  <si>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</si>
  <si>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</si>
  <si>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</si>
  <si>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</si>
  <si>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</si>
  <si>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</si>
  <si>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</si>
  <si>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</si>
  <si>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</si>
  <si>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</si>
  <si>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</si>
  <si>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</si>
  <si>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</si>
  <si>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</si>
  <si>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</si>
  <si>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</si>
  <si>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</si>
  <si>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</si>
  <si>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</si>
  <si>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</si>
  <si>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</si>
  <si>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</si>
  <si>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</si>
  <si>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</si>
  <si>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</si>
  <si>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</si>
  <si>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</si>
  <si>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</si>
  <si>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</si>
  <si>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</si>
  <si>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</si>
  <si>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</si>
  <si>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</si>
  <si>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</si>
  <si>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</si>
  <si>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</si>
  <si>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</si>
  <si>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</si>
  <si>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</si>
  <si>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</si>
  <si>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</si>
  <si>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</si>
  <si>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</si>
  <si>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</si>
  <si>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</si>
  <si>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</si>
  <si>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</si>
  <si>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</si>
  <si>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</si>
  <si>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</si>
  <si>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</si>
  <si>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</si>
  <si>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</si>
  <si>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</si>
  <si>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</si>
  <si>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</si>
  <si>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</si>
  <si>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</si>
  <si>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</si>
  <si>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</si>
  <si>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</si>
  <si>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</si>
  <si>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</si>
  <si>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</si>
  <si>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</si>
  <si>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</si>
  <si>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</si>
  <si>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</si>
  <si>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</si>
  <si>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</si>
  <si>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</si>
  <si>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</si>
  <si>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</si>
  <si>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</si>
  <si>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</si>
  <si>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</si>
  <si>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</si>
  <si>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</si>
  <si>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</si>
  <si>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</si>
  <si>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</si>
  <si>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</si>
  <si>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</si>
  <si>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</si>
  <si>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</si>
  <si>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</si>
  <si>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</si>
  <si>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</si>
  <si>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</si>
  <si>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</si>
  <si>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</si>
  <si>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</si>
  <si>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</si>
  <si>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</si>
  <si>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</si>
  <si>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</si>
  <si>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</si>
  <si>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</si>
  <si>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</si>
  <si>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</si>
  <si>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</si>
  <si>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</si>
  <si>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</si>
  <si>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</si>
  <si>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</si>
  <si>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</si>
  <si>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</si>
  <si>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</si>
  <si>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</si>
  <si>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</si>
  <si>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</si>
  <si>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</si>
  <si>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</si>
  <si>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</si>
  <si>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</si>
  <si>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</si>
  <si>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</si>
  <si>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</si>
  <si>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</si>
  <si>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</si>
  <si>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</si>
  <si>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</si>
  <si>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</si>
  <si>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</si>
  <si>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6/16</t>
  </si>
  <si>
    <t>8/26</t>
  </si>
  <si>
    <t>EXETER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</si>
</sst>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914</v>
      </c>
      <c r="B2" s="21">
        <v>173</v>
      </c>
      <c r="C2" s="21">
        <v>173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66621.75</v>
      </c>
      <c r="G9" s="18"/>
      <c r="H9" s="18"/>
      <c r="I9" s="18"/>
      <c r="J9" s="67">
        <f>SUM(I439)</f>
        <v>217852.96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1280169.51</v>
      </c>
      <c r="G10" s="18"/>
      <c r="H10" s="18"/>
      <c r="I10" s="18">
        <v>1318882.8999999999</v>
      </c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14636.07</v>
      </c>
      <c r="G12" s="18"/>
      <c r="H12" s="18">
        <v>12797.11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23381.02</v>
      </c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1384808.35</v>
      </c>
      <c r="G19" s="41">
        <f>SUM(G9:G18)</f>
        <v>0</v>
      </c>
      <c r="H19" s="41">
        <f>SUM(H9:H18)</f>
        <v>12797.11</v>
      </c>
      <c r="I19" s="41">
        <f>SUM(I9:I18)</f>
        <v>1318882.8999999999</v>
      </c>
      <c r="J19" s="41">
        <f>SUM(J9:J18)</f>
        <v>217852.96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12797.11</v>
      </c>
      <c r="G22" s="18"/>
      <c r="H22" s="18"/>
      <c r="I22" s="18">
        <v>14636.07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477641.74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32397.82</v>
      </c>
      <c r="G24" s="18"/>
      <c r="H24" s="18"/>
      <c r="I24" s="18">
        <v>83431.08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30087.14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11784.26</v>
      </c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564708.06999999995</v>
      </c>
      <c r="G32" s="41">
        <f>SUM(G22:G31)</f>
        <v>0</v>
      </c>
      <c r="H32" s="41">
        <f>SUM(H22:H31)</f>
        <v>0</v>
      </c>
      <c r="I32" s="41">
        <f>SUM(I22:I31)</f>
        <v>98067.15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104416.72</v>
      </c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12797.11</v>
      </c>
      <c r="I48" s="18">
        <v>1220815.75</v>
      </c>
      <c r="J48" s="13">
        <f>SUM(I459)</f>
        <v>217852.96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715683.56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820100.28</v>
      </c>
      <c r="G51" s="41">
        <f>SUM(G35:G50)</f>
        <v>0</v>
      </c>
      <c r="H51" s="41">
        <f>SUM(H35:H50)</f>
        <v>12797.11</v>
      </c>
      <c r="I51" s="41">
        <f>SUM(I35:I50)</f>
        <v>1220815.75</v>
      </c>
      <c r="J51" s="41">
        <f>SUM(J35:J50)</f>
        <v>217852.96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1384808.35</v>
      </c>
      <c r="G52" s="41">
        <f>G51+G32</f>
        <v>0</v>
      </c>
      <c r="H52" s="41">
        <f>H51+H32</f>
        <v>12797.11</v>
      </c>
      <c r="I52" s="41">
        <f>I51+I32</f>
        <v>1318882.8999999999</v>
      </c>
      <c r="J52" s="41">
        <f>J51+J32</f>
        <v>217852.96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13909076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13909076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5445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6700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12145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3381.24</v>
      </c>
      <c r="G96" s="18">
        <v>20.62</v>
      </c>
      <c r="H96" s="18"/>
      <c r="I96" s="18">
        <v>8832.5300000000007</v>
      </c>
      <c r="J96" s="18">
        <v>2157.63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182027.35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11383</v>
      </c>
      <c r="G98" s="24" t="s">
        <v>286</v>
      </c>
      <c r="H98" s="18">
        <v>16236.5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103078.87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117843.11</v>
      </c>
      <c r="G111" s="41">
        <f>SUM(G96:G110)</f>
        <v>182047.97</v>
      </c>
      <c r="H111" s="41">
        <f>SUM(H96:H110)</f>
        <v>16236.5</v>
      </c>
      <c r="I111" s="41">
        <f>SUM(I96:I110)</f>
        <v>8832.5300000000007</v>
      </c>
      <c r="J111" s="41">
        <f>SUM(J96:J110)</f>
        <v>2157.63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14039064.109999999</v>
      </c>
      <c r="G112" s="41">
        <f>G60+G111</f>
        <v>182047.97</v>
      </c>
      <c r="H112" s="41">
        <f>H60+H79+H94+H111</f>
        <v>16236.5</v>
      </c>
      <c r="I112" s="41">
        <f>I60+I111</f>
        <v>8832.5300000000007</v>
      </c>
      <c r="J112" s="41">
        <f>J60+J111</f>
        <v>2157.63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2133903.58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1705467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23711.08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3863081.66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6942.55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4896.2700000000004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6942.55</v>
      </c>
      <c r="G136" s="41">
        <f>SUM(G123:G135)</f>
        <v>4896.2700000000004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3870024.21</v>
      </c>
      <c r="G140" s="41">
        <f>G121+SUM(G136:G137)</f>
        <v>4896.2700000000004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117618.7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221529.95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221529.95</v>
      </c>
      <c r="G162" s="41">
        <f>SUM(G150:G161)</f>
        <v>117618.7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221529.95</v>
      </c>
      <c r="G169" s="41">
        <f>G147+G162+SUM(G163:G168)</f>
        <v>117618.7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18130618.27</v>
      </c>
      <c r="G193" s="47">
        <f>G112+G140+G169+G192</f>
        <v>304562.94</v>
      </c>
      <c r="H193" s="47">
        <f>H112+H140+H169+H192</f>
        <v>16236.5</v>
      </c>
      <c r="I193" s="47">
        <f>I112+I140+I169+I192</f>
        <v>8832.5300000000007</v>
      </c>
      <c r="J193" s="47">
        <f>J112+J140+J192</f>
        <v>2157.63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5473114.9500000002</v>
      </c>
      <c r="G197" s="18">
        <v>2174053.87</v>
      </c>
      <c r="H197" s="18"/>
      <c r="I197" s="18">
        <v>197366.46</v>
      </c>
      <c r="J197" s="18"/>
      <c r="K197" s="18"/>
      <c r="L197" s="19">
        <f>SUM(F197:K197)</f>
        <v>7844535.2800000003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2644497.31</v>
      </c>
      <c r="G198" s="18">
        <v>1050458.4099999999</v>
      </c>
      <c r="H198" s="18">
        <v>103021.73</v>
      </c>
      <c r="I198" s="18">
        <v>35657.72</v>
      </c>
      <c r="J198" s="18">
        <v>18261.189999999999</v>
      </c>
      <c r="K198" s="18"/>
      <c r="L198" s="19">
        <f>SUM(F198:K198)</f>
        <v>3851896.36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18546</v>
      </c>
      <c r="G200" s="18">
        <v>7366.92</v>
      </c>
      <c r="H200" s="18"/>
      <c r="I200" s="18">
        <v>240.25</v>
      </c>
      <c r="J200" s="18"/>
      <c r="K200" s="18"/>
      <c r="L200" s="19">
        <f>SUM(F200:K200)</f>
        <v>26153.17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1161462.08</v>
      </c>
      <c r="G202" s="18">
        <v>461360.88</v>
      </c>
      <c r="H202" s="18">
        <v>16314</v>
      </c>
      <c r="I202" s="18">
        <v>9303.1299999999992</v>
      </c>
      <c r="J202" s="18"/>
      <c r="K202" s="18"/>
      <c r="L202" s="19">
        <f t="shared" ref="L202:L208" si="0">SUM(F202:K202)</f>
        <v>1648440.0899999999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526231.28</v>
      </c>
      <c r="G203" s="18">
        <v>209031.81</v>
      </c>
      <c r="H203" s="18">
        <v>63685.36</v>
      </c>
      <c r="I203" s="18">
        <v>17548.689999999999</v>
      </c>
      <c r="J203" s="18"/>
      <c r="K203" s="18"/>
      <c r="L203" s="19">
        <f t="shared" si="0"/>
        <v>816497.14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7800</v>
      </c>
      <c r="G204" s="18">
        <v>3098.35</v>
      </c>
      <c r="H204" s="18">
        <v>373865.31</v>
      </c>
      <c r="I204" s="18"/>
      <c r="J204" s="18"/>
      <c r="K204" s="18"/>
      <c r="L204" s="19">
        <f t="shared" si="0"/>
        <v>384763.66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624449.26</v>
      </c>
      <c r="G205" s="18">
        <v>248046.38</v>
      </c>
      <c r="H205" s="18">
        <v>65972.13</v>
      </c>
      <c r="I205" s="18">
        <v>15276.76</v>
      </c>
      <c r="J205" s="18">
        <v>462.6</v>
      </c>
      <c r="K205" s="18">
        <v>7333.18</v>
      </c>
      <c r="L205" s="19">
        <f t="shared" si="0"/>
        <v>961540.31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374329.16</v>
      </c>
      <c r="G207" s="18">
        <v>148692.60999999999</v>
      </c>
      <c r="H207" s="18">
        <v>212448.89</v>
      </c>
      <c r="I207" s="18">
        <v>271420.40999999997</v>
      </c>
      <c r="J207" s="18">
        <v>8248.32</v>
      </c>
      <c r="K207" s="18"/>
      <c r="L207" s="19">
        <f t="shared" si="0"/>
        <v>1015139.3899999998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607383.75</v>
      </c>
      <c r="I208" s="18"/>
      <c r="J208" s="18"/>
      <c r="K208" s="18"/>
      <c r="L208" s="19">
        <f t="shared" si="0"/>
        <v>607383.75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10830430.039999999</v>
      </c>
      <c r="G211" s="41">
        <f t="shared" si="1"/>
        <v>4302109.2300000004</v>
      </c>
      <c r="H211" s="41">
        <f t="shared" si="1"/>
        <v>1442691.17</v>
      </c>
      <c r="I211" s="41">
        <f t="shared" si="1"/>
        <v>546813.41999999993</v>
      </c>
      <c r="J211" s="41">
        <f t="shared" si="1"/>
        <v>26972.109999999997</v>
      </c>
      <c r="K211" s="41">
        <f t="shared" si="1"/>
        <v>7333.18</v>
      </c>
      <c r="L211" s="41">
        <f t="shared" si="1"/>
        <v>17156349.150000002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10830430.039999999</v>
      </c>
      <c r="G257" s="41">
        <f t="shared" si="8"/>
        <v>4302109.2300000004</v>
      </c>
      <c r="H257" s="41">
        <f t="shared" si="8"/>
        <v>1442691.17</v>
      </c>
      <c r="I257" s="41">
        <f t="shared" si="8"/>
        <v>546813.41999999993</v>
      </c>
      <c r="J257" s="41">
        <f t="shared" si="8"/>
        <v>26972.109999999997</v>
      </c>
      <c r="K257" s="41">
        <f t="shared" si="8"/>
        <v>7333.18</v>
      </c>
      <c r="L257" s="41">
        <f t="shared" si="8"/>
        <v>17156349.150000002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468225</v>
      </c>
      <c r="L260" s="19">
        <f>SUM(F260:K260)</f>
        <v>468225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213041.45</v>
      </c>
      <c r="L261" s="19">
        <f>SUM(F261:K261)</f>
        <v>213041.45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681266.45</v>
      </c>
      <c r="L270" s="41">
        <f t="shared" si="9"/>
        <v>681266.45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10830430.039999999</v>
      </c>
      <c r="G271" s="42">
        <f t="shared" si="11"/>
        <v>4302109.2300000004</v>
      </c>
      <c r="H271" s="42">
        <f t="shared" si="11"/>
        <v>1442691.17</v>
      </c>
      <c r="I271" s="42">
        <f t="shared" si="11"/>
        <v>546813.41999999993</v>
      </c>
      <c r="J271" s="42">
        <f t="shared" si="11"/>
        <v>26972.109999999997</v>
      </c>
      <c r="K271" s="42">
        <f t="shared" si="11"/>
        <v>688599.63</v>
      </c>
      <c r="L271" s="42">
        <f t="shared" si="11"/>
        <v>17837615.600000001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11685</v>
      </c>
      <c r="G281" s="18">
        <v>2041.9</v>
      </c>
      <c r="H281" s="18"/>
      <c r="I281" s="18">
        <v>685.68</v>
      </c>
      <c r="J281" s="18"/>
      <c r="K281" s="18"/>
      <c r="L281" s="19">
        <f t="shared" ref="L281:L287" si="12">SUM(F281:K281)</f>
        <v>14412.58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11685</v>
      </c>
      <c r="G290" s="42">
        <f t="shared" si="13"/>
        <v>2041.9</v>
      </c>
      <c r="H290" s="42">
        <f t="shared" si="13"/>
        <v>0</v>
      </c>
      <c r="I290" s="42">
        <f t="shared" si="13"/>
        <v>685.68</v>
      </c>
      <c r="J290" s="42">
        <f t="shared" si="13"/>
        <v>0</v>
      </c>
      <c r="K290" s="42">
        <f t="shared" si="13"/>
        <v>0</v>
      </c>
      <c r="L290" s="41">
        <f t="shared" si="13"/>
        <v>14412.58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11685</v>
      </c>
      <c r="G338" s="41">
        <f t="shared" si="20"/>
        <v>2041.9</v>
      </c>
      <c r="H338" s="41">
        <f t="shared" si="20"/>
        <v>0</v>
      </c>
      <c r="I338" s="41">
        <f t="shared" si="20"/>
        <v>685.68</v>
      </c>
      <c r="J338" s="41">
        <f t="shared" si="20"/>
        <v>0</v>
      </c>
      <c r="K338" s="41">
        <f t="shared" si="20"/>
        <v>0</v>
      </c>
      <c r="L338" s="41">
        <f t="shared" si="20"/>
        <v>14412.58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11685</v>
      </c>
      <c r="G352" s="41">
        <f>G338</f>
        <v>2041.9</v>
      </c>
      <c r="H352" s="41">
        <f>H338</f>
        <v>0</v>
      </c>
      <c r="I352" s="41">
        <f>I338</f>
        <v>685.68</v>
      </c>
      <c r="J352" s="41">
        <f>J338</f>
        <v>0</v>
      </c>
      <c r="K352" s="47">
        <f>K338+K351</f>
        <v>0</v>
      </c>
      <c r="L352" s="41">
        <f>L338+L351</f>
        <v>14412.58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118799.77</v>
      </c>
      <c r="G358" s="18">
        <v>40405.410000000003</v>
      </c>
      <c r="H358" s="18">
        <v>6861.68</v>
      </c>
      <c r="I358" s="18">
        <v>124386.49</v>
      </c>
      <c r="J358" s="18">
        <v>13059.66</v>
      </c>
      <c r="K358" s="18">
        <v>1049.93</v>
      </c>
      <c r="L358" s="13">
        <f>SUM(F358:K358)</f>
        <v>304562.93999999994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118799.77</v>
      </c>
      <c r="G362" s="47">
        <f t="shared" si="22"/>
        <v>40405.410000000003</v>
      </c>
      <c r="H362" s="47">
        <f t="shared" si="22"/>
        <v>6861.68</v>
      </c>
      <c r="I362" s="47">
        <f t="shared" si="22"/>
        <v>124386.49</v>
      </c>
      <c r="J362" s="47">
        <f t="shared" si="22"/>
        <v>13059.66</v>
      </c>
      <c r="K362" s="47">
        <f t="shared" si="22"/>
        <v>1049.93</v>
      </c>
      <c r="L362" s="47">
        <f t="shared" si="22"/>
        <v>304562.93999999994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117453.19</v>
      </c>
      <c r="G367" s="18"/>
      <c r="H367" s="18"/>
      <c r="I367" s="56">
        <f>SUM(F367:H367)</f>
        <v>117453.19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6933.3</v>
      </c>
      <c r="G368" s="63"/>
      <c r="H368" s="63"/>
      <c r="I368" s="56">
        <f>SUM(F368:H368)</f>
        <v>6933.3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124386.49</v>
      </c>
      <c r="G369" s="47">
        <f>SUM(G367:G368)</f>
        <v>0</v>
      </c>
      <c r="H369" s="47">
        <f>SUM(H367:H368)</f>
        <v>0</v>
      </c>
      <c r="I369" s="47">
        <f>SUM(I367:I368)</f>
        <v>124386.49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>
        <v>38837</v>
      </c>
      <c r="I375" s="18"/>
      <c r="J375" s="18"/>
      <c r="K375" s="18"/>
      <c r="L375" s="13">
        <f t="shared" ref="L375:L381" si="23">SUM(F375:K375)</f>
        <v>38837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>
        <v>48054.93</v>
      </c>
      <c r="I376" s="18"/>
      <c r="J376" s="18"/>
      <c r="K376" s="18"/>
      <c r="L376" s="13">
        <f t="shared" si="23"/>
        <v>48054.93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>
        <v>2850836.71</v>
      </c>
      <c r="I378" s="18"/>
      <c r="J378" s="18">
        <v>104454.87</v>
      </c>
      <c r="K378" s="18"/>
      <c r="L378" s="13">
        <f t="shared" si="23"/>
        <v>2955291.58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>
        <v>33717.480000000003</v>
      </c>
      <c r="L380" s="13">
        <f t="shared" si="23"/>
        <v>33717.480000000003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2937728.64</v>
      </c>
      <c r="I382" s="41">
        <f t="shared" si="24"/>
        <v>0</v>
      </c>
      <c r="J382" s="47">
        <f t="shared" si="24"/>
        <v>104454.87</v>
      </c>
      <c r="K382" s="47">
        <f t="shared" si="24"/>
        <v>33717.480000000003</v>
      </c>
      <c r="L382" s="47">
        <f t="shared" si="24"/>
        <v>3075900.99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>
        <v>1471.7</v>
      </c>
      <c r="I388" s="18"/>
      <c r="J388" s="24" t="s">
        <v>286</v>
      </c>
      <c r="K388" s="24" t="s">
        <v>286</v>
      </c>
      <c r="L388" s="56">
        <f t="shared" si="25"/>
        <v>1471.7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1471.7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1471.7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>
        <v>685.93</v>
      </c>
      <c r="I395" s="18"/>
      <c r="J395" s="24" t="s">
        <v>286</v>
      </c>
      <c r="K395" s="24" t="s">
        <v>286</v>
      </c>
      <c r="L395" s="56">
        <f t="shared" ref="L395:L400" si="26">SUM(F395:K395)</f>
        <v>685.93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685.93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685.93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2157.63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2157.63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217852.96</v>
      </c>
      <c r="H439" s="18"/>
      <c r="I439" s="56">
        <f t="shared" ref="I439:I445" si="33">SUM(F439:H439)</f>
        <v>217852.96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217852.96</v>
      </c>
      <c r="H446" s="13">
        <f>SUM(H439:H445)</f>
        <v>0</v>
      </c>
      <c r="I446" s="13">
        <f>SUM(I439:I445)</f>
        <v>217852.96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217852.96</v>
      </c>
      <c r="H459" s="18"/>
      <c r="I459" s="56">
        <f t="shared" si="34"/>
        <v>217852.96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217852.96</v>
      </c>
      <c r="H460" s="83">
        <f>SUM(H454:H459)</f>
        <v>0</v>
      </c>
      <c r="I460" s="83">
        <f>SUM(I454:I459)</f>
        <v>217852.96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217852.96</v>
      </c>
      <c r="H461" s="42">
        <f>H452+H460</f>
        <v>0</v>
      </c>
      <c r="I461" s="42">
        <f>I452+I460</f>
        <v>217852.96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527097.61</v>
      </c>
      <c r="G465" s="18"/>
      <c r="H465" s="18">
        <v>10973.19</v>
      </c>
      <c r="I465" s="18">
        <v>4287884.21</v>
      </c>
      <c r="J465" s="18">
        <v>215695.33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18130618.27</v>
      </c>
      <c r="G468" s="18">
        <v>304562.94</v>
      </c>
      <c r="H468" s="18">
        <v>16236.5</v>
      </c>
      <c r="I468" s="18">
        <v>8832.5300000000007</v>
      </c>
      <c r="J468" s="18">
        <v>2157.63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18130618.27</v>
      </c>
      <c r="G470" s="53">
        <f>SUM(G468:G469)</f>
        <v>304562.94</v>
      </c>
      <c r="H470" s="53">
        <f>SUM(H468:H469)</f>
        <v>16236.5</v>
      </c>
      <c r="I470" s="53">
        <f>SUM(I468:I469)</f>
        <v>8832.5300000000007</v>
      </c>
      <c r="J470" s="53">
        <f>SUM(J468:J469)</f>
        <v>2157.63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17837615.600000001</v>
      </c>
      <c r="G472" s="18">
        <v>304562.94</v>
      </c>
      <c r="H472" s="18">
        <v>14412.58</v>
      </c>
      <c r="I472" s="18">
        <v>3075900.99</v>
      </c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17837615.600000001</v>
      </c>
      <c r="G474" s="53">
        <f>SUM(G472:G473)</f>
        <v>304562.94</v>
      </c>
      <c r="H474" s="53">
        <f>SUM(H472:H473)</f>
        <v>14412.58</v>
      </c>
      <c r="I474" s="53">
        <f>SUM(I472:I473)</f>
        <v>3075900.99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820100.27999999747</v>
      </c>
      <c r="G476" s="53">
        <f>(G465+G470)- G474</f>
        <v>0</v>
      </c>
      <c r="H476" s="53">
        <f>(H465+H470)- H474</f>
        <v>12797.110000000002</v>
      </c>
      <c r="I476" s="53">
        <f>(I465+I470)- I474</f>
        <v>1220815.75</v>
      </c>
      <c r="J476" s="53">
        <f>(J465+J470)- J474</f>
        <v>217852.96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4663225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0.05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4663225</v>
      </c>
      <c r="G495" s="18"/>
      <c r="H495" s="18"/>
      <c r="I495" s="18"/>
      <c r="J495" s="18"/>
      <c r="K495" s="53">
        <f>SUM(F495:J495)</f>
        <v>4663225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468225</v>
      </c>
      <c r="G497" s="18"/>
      <c r="H497" s="18"/>
      <c r="I497" s="18"/>
      <c r="J497" s="18"/>
      <c r="K497" s="53">
        <f t="shared" si="35"/>
        <v>468225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4195000</v>
      </c>
      <c r="G498" s="204"/>
      <c r="H498" s="204"/>
      <c r="I498" s="204"/>
      <c r="J498" s="204"/>
      <c r="K498" s="205">
        <f t="shared" si="35"/>
        <v>4195000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890093.5</v>
      </c>
      <c r="G499" s="18"/>
      <c r="H499" s="18"/>
      <c r="I499" s="18"/>
      <c r="J499" s="18"/>
      <c r="K499" s="53">
        <f t="shared" si="35"/>
        <v>890093.5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5085093.5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5085093.5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470000</v>
      </c>
      <c r="G501" s="204"/>
      <c r="H501" s="204"/>
      <c r="I501" s="204"/>
      <c r="J501" s="204"/>
      <c r="K501" s="205">
        <f t="shared" si="35"/>
        <v>470000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189492</v>
      </c>
      <c r="G502" s="18"/>
      <c r="H502" s="18"/>
      <c r="I502" s="18"/>
      <c r="J502" s="18"/>
      <c r="K502" s="53">
        <f t="shared" si="35"/>
        <v>189492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659492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659492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2475531.61</v>
      </c>
      <c r="G521" s="18">
        <v>982872.13</v>
      </c>
      <c r="H521" s="18">
        <v>103021.73</v>
      </c>
      <c r="I521" s="18">
        <v>35657.72</v>
      </c>
      <c r="J521" s="18">
        <v>18261.189999999999</v>
      </c>
      <c r="K521" s="18"/>
      <c r="L521" s="88">
        <f>SUM(F521:K521)</f>
        <v>3615344.38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2475531.61</v>
      </c>
      <c r="G524" s="108">
        <f t="shared" ref="G524:L524" si="36">SUM(G521:G523)</f>
        <v>982872.13</v>
      </c>
      <c r="H524" s="108">
        <f t="shared" si="36"/>
        <v>103021.73</v>
      </c>
      <c r="I524" s="108">
        <f t="shared" si="36"/>
        <v>35657.72</v>
      </c>
      <c r="J524" s="108">
        <f t="shared" si="36"/>
        <v>18261.189999999999</v>
      </c>
      <c r="K524" s="108">
        <f t="shared" si="36"/>
        <v>0</v>
      </c>
      <c r="L524" s="89">
        <f t="shared" si="36"/>
        <v>3615344.38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1161462.08</v>
      </c>
      <c r="G526" s="18">
        <v>461360.88</v>
      </c>
      <c r="H526" s="18">
        <v>16314</v>
      </c>
      <c r="I526" s="18">
        <v>9303.1299999999992</v>
      </c>
      <c r="J526" s="18"/>
      <c r="K526" s="18"/>
      <c r="L526" s="88">
        <f>SUM(F526:K526)</f>
        <v>1648440.0899999999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1161462.08</v>
      </c>
      <c r="G529" s="89">
        <f t="shared" ref="G529:L529" si="37">SUM(G526:G528)</f>
        <v>461360.88</v>
      </c>
      <c r="H529" s="89">
        <f t="shared" si="37"/>
        <v>16314</v>
      </c>
      <c r="I529" s="89">
        <f t="shared" si="37"/>
        <v>9303.1299999999992</v>
      </c>
      <c r="J529" s="89">
        <f t="shared" si="37"/>
        <v>0</v>
      </c>
      <c r="K529" s="89">
        <f t="shared" si="37"/>
        <v>0</v>
      </c>
      <c r="L529" s="89">
        <f t="shared" si="37"/>
        <v>1648440.0899999999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168965.7</v>
      </c>
      <c r="G531" s="18">
        <v>67586.28</v>
      </c>
      <c r="H531" s="18"/>
      <c r="I531" s="18"/>
      <c r="J531" s="18"/>
      <c r="K531" s="18"/>
      <c r="L531" s="88">
        <f>SUM(F531:K531)</f>
        <v>236551.98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168965.7</v>
      </c>
      <c r="G534" s="89">
        <f t="shared" ref="G534:L534" si="38">SUM(G531:G533)</f>
        <v>67586.28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236551.98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741.5</v>
      </c>
      <c r="I536" s="18"/>
      <c r="J536" s="18"/>
      <c r="K536" s="18"/>
      <c r="L536" s="88">
        <f>SUM(F536:K536)</f>
        <v>741.5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741.5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741.5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190279.75</v>
      </c>
      <c r="I541" s="18"/>
      <c r="J541" s="18"/>
      <c r="K541" s="18"/>
      <c r="L541" s="88">
        <f>SUM(F541:K541)</f>
        <v>190279.75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190279.75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190279.75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3805959.39</v>
      </c>
      <c r="G545" s="89">
        <f t="shared" ref="G545:L545" si="41">G524+G529+G534+G539+G544</f>
        <v>1511819.29</v>
      </c>
      <c r="H545" s="89">
        <f t="shared" si="41"/>
        <v>310356.98</v>
      </c>
      <c r="I545" s="89">
        <f t="shared" si="41"/>
        <v>44960.85</v>
      </c>
      <c r="J545" s="89">
        <f t="shared" si="41"/>
        <v>18261.189999999999</v>
      </c>
      <c r="K545" s="89">
        <f t="shared" si="41"/>
        <v>0</v>
      </c>
      <c r="L545" s="89">
        <f t="shared" si="41"/>
        <v>5691357.7000000002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3615344.38</v>
      </c>
      <c r="G549" s="87">
        <f>L526</f>
        <v>1648440.0899999999</v>
      </c>
      <c r="H549" s="87">
        <f>L531</f>
        <v>236551.98</v>
      </c>
      <c r="I549" s="87">
        <f>L536</f>
        <v>741.5</v>
      </c>
      <c r="J549" s="87">
        <f>L541</f>
        <v>190279.75</v>
      </c>
      <c r="K549" s="87">
        <f>SUM(F549:J549)</f>
        <v>5691357.7000000002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3615344.38</v>
      </c>
      <c r="G552" s="89">
        <f t="shared" si="42"/>
        <v>1648440.0899999999</v>
      </c>
      <c r="H552" s="89">
        <f t="shared" si="42"/>
        <v>236551.98</v>
      </c>
      <c r="I552" s="89">
        <f t="shared" si="42"/>
        <v>741.5</v>
      </c>
      <c r="J552" s="89">
        <f t="shared" si="42"/>
        <v>190279.75</v>
      </c>
      <c r="K552" s="89">
        <f t="shared" si="42"/>
        <v>5691357.7000000002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122339.18</v>
      </c>
      <c r="G562" s="18"/>
      <c r="H562" s="18"/>
      <c r="I562" s="18">
        <v>764.38</v>
      </c>
      <c r="J562" s="18"/>
      <c r="K562" s="18"/>
      <c r="L562" s="88">
        <f>SUM(F562:K562)</f>
        <v>123103.56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122339.18</v>
      </c>
      <c r="G565" s="89">
        <f t="shared" si="44"/>
        <v>0</v>
      </c>
      <c r="H565" s="89">
        <f t="shared" si="44"/>
        <v>0</v>
      </c>
      <c r="I565" s="89">
        <f t="shared" si="44"/>
        <v>764.38</v>
      </c>
      <c r="J565" s="89">
        <f t="shared" si="44"/>
        <v>0</v>
      </c>
      <c r="K565" s="89">
        <f t="shared" si="44"/>
        <v>0</v>
      </c>
      <c r="L565" s="89">
        <f t="shared" si="44"/>
        <v>123103.56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122339.18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764.38</v>
      </c>
      <c r="J571" s="89">
        <f t="shared" si="46"/>
        <v>0</v>
      </c>
      <c r="K571" s="89">
        <f t="shared" si="46"/>
        <v>0</v>
      </c>
      <c r="L571" s="89">
        <f t="shared" si="46"/>
        <v>123103.56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7422.4</v>
      </c>
      <c r="G579" s="18"/>
      <c r="H579" s="18"/>
      <c r="I579" s="87">
        <f t="shared" si="47"/>
        <v>7422.4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54060</v>
      </c>
      <c r="G582" s="18"/>
      <c r="H582" s="18"/>
      <c r="I582" s="87">
        <f t="shared" si="47"/>
        <v>54060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417104</v>
      </c>
      <c r="I591" s="18"/>
      <c r="J591" s="18"/>
      <c r="K591" s="104">
        <f t="shared" ref="K591:K597" si="48">SUM(H591:J591)</f>
        <v>417104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190279.75</v>
      </c>
      <c r="I592" s="18"/>
      <c r="J592" s="18"/>
      <c r="K592" s="104">
        <f t="shared" si="48"/>
        <v>190279.75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607383.75</v>
      </c>
      <c r="I598" s="108">
        <f>SUM(I591:I597)</f>
        <v>0</v>
      </c>
      <c r="J598" s="108">
        <f>SUM(J591:J597)</f>
        <v>0</v>
      </c>
      <c r="K598" s="108">
        <f>SUM(K591:K597)</f>
        <v>607383.75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26972.11</v>
      </c>
      <c r="I604" s="18"/>
      <c r="J604" s="18"/>
      <c r="K604" s="104">
        <f>SUM(H604:J604)</f>
        <v>26972.11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26972.11</v>
      </c>
      <c r="I605" s="108">
        <f>SUM(I602:I604)</f>
        <v>0</v>
      </c>
      <c r="J605" s="108">
        <f>SUM(J602:J604)</f>
        <v>0</v>
      </c>
      <c r="K605" s="108">
        <f>SUM(K602:K604)</f>
        <v>26972.11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114615.84</v>
      </c>
      <c r="G611" s="18">
        <v>45846.34</v>
      </c>
      <c r="H611" s="18"/>
      <c r="I611" s="18">
        <v>240.25</v>
      </c>
      <c r="J611" s="18"/>
      <c r="K611" s="18"/>
      <c r="L611" s="88">
        <f>SUM(F611:K611)</f>
        <v>160702.43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114615.84</v>
      </c>
      <c r="G614" s="108">
        <f t="shared" si="49"/>
        <v>45846.34</v>
      </c>
      <c r="H614" s="108">
        <f t="shared" si="49"/>
        <v>0</v>
      </c>
      <c r="I614" s="108">
        <f t="shared" si="49"/>
        <v>240.25</v>
      </c>
      <c r="J614" s="108">
        <f t="shared" si="49"/>
        <v>0</v>
      </c>
      <c r="K614" s="108">
        <f t="shared" si="49"/>
        <v>0</v>
      </c>
      <c r="L614" s="89">
        <f t="shared" si="49"/>
        <v>160702.43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1384808.35</v>
      </c>
      <c r="H617" s="109">
        <f>SUM(F52)</f>
        <v>1384808.35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12797.11</v>
      </c>
      <c r="H619" s="109">
        <f>SUM(H52)</f>
        <v>12797.11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1318882.8999999999</v>
      </c>
      <c r="H620" s="109">
        <f>SUM(I52)</f>
        <v>1318882.8999999999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217852.96</v>
      </c>
      <c r="H621" s="109">
        <f>SUM(J52)</f>
        <v>217852.96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820100.28</v>
      </c>
      <c r="H622" s="109">
        <f>F476</f>
        <v>820100.27999999747</v>
      </c>
      <c r="I622" s="121" t="s">
        <v>101</v>
      </c>
      <c r="J622" s="109">
        <f t="shared" ref="J622:J655" si="50">G622-H622</f>
        <v>2.5611370801925659E-9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12797.11</v>
      </c>
      <c r="H624" s="109">
        <f>H476</f>
        <v>12797.110000000002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1220815.75</v>
      </c>
      <c r="H625" s="109">
        <f>I476</f>
        <v>1220815.75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217852.96</v>
      </c>
      <c r="H626" s="109">
        <f>J476</f>
        <v>217852.96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18130618.27</v>
      </c>
      <c r="H627" s="104">
        <f>SUM(F468)</f>
        <v>18130618.27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304562.94</v>
      </c>
      <c r="H628" s="104">
        <f>SUM(G468)</f>
        <v>304562.94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16236.5</v>
      </c>
      <c r="H629" s="104">
        <f>SUM(H468)</f>
        <v>16236.5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8832.5300000000007</v>
      </c>
      <c r="H630" s="104">
        <f>SUM(I468)</f>
        <v>8832.5300000000007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2157.63</v>
      </c>
      <c r="H631" s="104">
        <f>SUM(J468)</f>
        <v>2157.63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17837615.600000001</v>
      </c>
      <c r="H632" s="104">
        <f>SUM(F472)</f>
        <v>17837615.600000001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14412.58</v>
      </c>
      <c r="H633" s="104">
        <f>SUM(H472)</f>
        <v>14412.58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124386.49</v>
      </c>
      <c r="H634" s="104">
        <f>I369</f>
        <v>124386.49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304562.93999999994</v>
      </c>
      <c r="H635" s="104">
        <f>SUM(G472)</f>
        <v>304562.94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3075900.99</v>
      </c>
      <c r="H636" s="104">
        <f>SUM(I472)</f>
        <v>3075900.99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2157.63</v>
      </c>
      <c r="H637" s="164">
        <f>SUM(J468)</f>
        <v>2157.63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217852.96</v>
      </c>
      <c r="H640" s="104">
        <f>SUM(G461)</f>
        <v>217852.96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217852.96</v>
      </c>
      <c r="H642" s="104">
        <f>SUM(I461)</f>
        <v>217852.96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2157.63</v>
      </c>
      <c r="H644" s="104">
        <f>H408</f>
        <v>2157.63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2157.63</v>
      </c>
      <c r="H646" s="104">
        <f>L408</f>
        <v>2157.63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607383.75</v>
      </c>
      <c r="H647" s="104">
        <f>L208+L226+L244</f>
        <v>607383.75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26972.11</v>
      </c>
      <c r="H648" s="104">
        <f>(J257+J338)-(J255+J336)</f>
        <v>26972.109999999997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607383.75</v>
      </c>
      <c r="H649" s="104">
        <f>H598</f>
        <v>607383.75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17475324.670000002</v>
      </c>
      <c r="G660" s="19">
        <f>(L229+L309+L359)</f>
        <v>0</v>
      </c>
      <c r="H660" s="19">
        <f>(L247+L328+L360)</f>
        <v>0</v>
      </c>
      <c r="I660" s="19">
        <f>SUM(F660:H660)</f>
        <v>17475324.670000002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182027.35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182027.35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607383.75</v>
      </c>
      <c r="G662" s="19">
        <f>(L226+L306)-(J226+J306)</f>
        <v>0</v>
      </c>
      <c r="H662" s="19">
        <f>(L244+L325)-(J244+J325)</f>
        <v>0</v>
      </c>
      <c r="I662" s="19">
        <f>SUM(F662:H662)</f>
        <v>607383.75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249156.94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249156.94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16436756.630000003</v>
      </c>
      <c r="G664" s="19">
        <f>G660-SUM(G661:G663)</f>
        <v>0</v>
      </c>
      <c r="H664" s="19">
        <f>H660-SUM(H661:H663)</f>
        <v>0</v>
      </c>
      <c r="I664" s="19">
        <f>I660-SUM(I661:I663)</f>
        <v>16436756.630000003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928.45</v>
      </c>
      <c r="G665" s="248"/>
      <c r="H665" s="248"/>
      <c r="I665" s="19">
        <f>SUM(F665:H665)</f>
        <v>928.45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17703.439999999999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17703.439999999999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17703.439999999999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17703.439999999999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EXETER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5473114.9500000002</v>
      </c>
      <c r="C9" s="229">
        <f>'DOE25'!G197+'DOE25'!G215+'DOE25'!G233+'DOE25'!G276+'DOE25'!G295+'DOE25'!G314</f>
        <v>2174053.87</v>
      </c>
    </row>
    <row r="10" spans="1:3" x14ac:dyDescent="0.2">
      <c r="A10" t="s">
        <v>773</v>
      </c>
      <c r="B10" s="240">
        <v>4858342.71</v>
      </c>
      <c r="C10" s="240">
        <v>1943337.08</v>
      </c>
    </row>
    <row r="11" spans="1:3" x14ac:dyDescent="0.2">
      <c r="A11" t="s">
        <v>774</v>
      </c>
      <c r="B11" s="240">
        <v>442136.51</v>
      </c>
      <c r="C11" s="240">
        <v>176854.6</v>
      </c>
    </row>
    <row r="12" spans="1:3" x14ac:dyDescent="0.2">
      <c r="A12" t="s">
        <v>775</v>
      </c>
      <c r="B12" s="240">
        <v>172635.73</v>
      </c>
      <c r="C12" s="240">
        <v>53862.19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5473114.9500000002</v>
      </c>
      <c r="C13" s="231">
        <f>SUM(C10:C12)</f>
        <v>2174053.87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2644497.31</v>
      </c>
      <c r="C18" s="229">
        <f>'DOE25'!G198+'DOE25'!G216+'DOE25'!G234+'DOE25'!G277+'DOE25'!G296+'DOE25'!G315</f>
        <v>1050458.4099999999</v>
      </c>
    </row>
    <row r="19" spans="1:3" x14ac:dyDescent="0.2">
      <c r="A19" t="s">
        <v>773</v>
      </c>
      <c r="B19" s="240">
        <v>1457671.21</v>
      </c>
      <c r="C19" s="240">
        <v>583068.48</v>
      </c>
    </row>
    <row r="20" spans="1:3" x14ac:dyDescent="0.2">
      <c r="A20" t="s">
        <v>774</v>
      </c>
      <c r="B20" s="240">
        <v>1140622.6399999999</v>
      </c>
      <c r="C20" s="240">
        <v>456249.06</v>
      </c>
    </row>
    <row r="21" spans="1:3" x14ac:dyDescent="0.2">
      <c r="A21" t="s">
        <v>775</v>
      </c>
      <c r="B21" s="240">
        <v>46203.46</v>
      </c>
      <c r="C21" s="240">
        <v>11140.87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2644497.3099999996</v>
      </c>
      <c r="C22" s="231">
        <f>SUM(C19:C21)</f>
        <v>1050458.4100000001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18546</v>
      </c>
      <c r="C36" s="235">
        <f>'DOE25'!G200+'DOE25'!G218+'DOE25'!G236+'DOE25'!G279+'DOE25'!G298+'DOE25'!G317</f>
        <v>7366.92</v>
      </c>
    </row>
    <row r="37" spans="1:3" x14ac:dyDescent="0.2">
      <c r="A37" t="s">
        <v>773</v>
      </c>
      <c r="B37" s="240">
        <v>18546</v>
      </c>
      <c r="C37" s="240">
        <v>7366.92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18546</v>
      </c>
      <c r="C40" s="231">
        <f>SUM(C37:C39)</f>
        <v>7366.92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EXETER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11722584.810000001</v>
      </c>
      <c r="D5" s="20">
        <f>SUM('DOE25'!L197:L200)+SUM('DOE25'!L215:L218)+SUM('DOE25'!L233:L236)-F5-G5</f>
        <v>11704323.620000001</v>
      </c>
      <c r="E5" s="243"/>
      <c r="F5" s="255">
        <f>SUM('DOE25'!J197:J200)+SUM('DOE25'!J215:J218)+SUM('DOE25'!J233:J236)</f>
        <v>18261.189999999999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1648440.0899999999</v>
      </c>
      <c r="D6" s="20">
        <f>'DOE25'!L202+'DOE25'!L220+'DOE25'!L238-F6-G6</f>
        <v>1648440.0899999999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816497.14</v>
      </c>
      <c r="D7" s="20">
        <f>'DOE25'!L203+'DOE25'!L221+'DOE25'!L239-F7-G7</f>
        <v>816497.14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319707.70999999996</v>
      </c>
      <c r="D8" s="243"/>
      <c r="E8" s="20">
        <f>'DOE25'!L204+'DOE25'!L222+'DOE25'!L240-F8-G8-D9-D11</f>
        <v>319707.70999999996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32627.31</v>
      </c>
      <c r="D9" s="244">
        <v>32627.31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14600</v>
      </c>
      <c r="D10" s="243"/>
      <c r="E10" s="244">
        <v>14600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32428.639999999999</v>
      </c>
      <c r="D11" s="244">
        <v>32428.639999999999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961540.31</v>
      </c>
      <c r="D12" s="20">
        <f>'DOE25'!L205+'DOE25'!L223+'DOE25'!L241-F12-G12</f>
        <v>953744.53</v>
      </c>
      <c r="E12" s="243"/>
      <c r="F12" s="255">
        <f>'DOE25'!J205+'DOE25'!J223+'DOE25'!J241</f>
        <v>462.6</v>
      </c>
      <c r="G12" s="53">
        <f>'DOE25'!K205+'DOE25'!K223+'DOE25'!K241</f>
        <v>7333.18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1015139.3899999998</v>
      </c>
      <c r="D14" s="20">
        <f>'DOE25'!L207+'DOE25'!L225+'DOE25'!L243-F14-G14</f>
        <v>1006891.0699999998</v>
      </c>
      <c r="E14" s="243"/>
      <c r="F14" s="255">
        <f>'DOE25'!J207+'DOE25'!J225+'DOE25'!J243</f>
        <v>8248.32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607383.75</v>
      </c>
      <c r="D15" s="20">
        <f>'DOE25'!L208+'DOE25'!L226+'DOE25'!L244-F15-G15</f>
        <v>607383.75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681266.45</v>
      </c>
      <c r="D25" s="243"/>
      <c r="E25" s="243"/>
      <c r="F25" s="258"/>
      <c r="G25" s="256"/>
      <c r="H25" s="257">
        <f>'DOE25'!L260+'DOE25'!L261+'DOE25'!L341+'DOE25'!L342</f>
        <v>681266.45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187109.74999999994</v>
      </c>
      <c r="D29" s="20">
        <f>'DOE25'!L358+'DOE25'!L359+'DOE25'!L360-'DOE25'!I367-F29-G29</f>
        <v>173000.15999999995</v>
      </c>
      <c r="E29" s="243"/>
      <c r="F29" s="255">
        <f>'DOE25'!J358+'DOE25'!J359+'DOE25'!J360</f>
        <v>13059.66</v>
      </c>
      <c r="G29" s="53">
        <f>'DOE25'!K358+'DOE25'!K359+'DOE25'!K360</f>
        <v>1049.93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14412.58</v>
      </c>
      <c r="D31" s="20">
        <f>'DOE25'!L290+'DOE25'!L309+'DOE25'!L328+'DOE25'!L333+'DOE25'!L334+'DOE25'!L335-F31-G31</f>
        <v>14412.58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16989748.890000001</v>
      </c>
      <c r="E33" s="246">
        <f>SUM(E5:E31)</f>
        <v>334307.70999999996</v>
      </c>
      <c r="F33" s="246">
        <f>SUM(F5:F31)</f>
        <v>40031.769999999997</v>
      </c>
      <c r="G33" s="246">
        <f>SUM(G5:G31)</f>
        <v>8383.11</v>
      </c>
      <c r="H33" s="246">
        <f>SUM(H5:H31)</f>
        <v>681266.45</v>
      </c>
    </row>
    <row r="35" spans="2:8" ht="12" thickBot="1" x14ac:dyDescent="0.25">
      <c r="B35" s="253" t="s">
        <v>841</v>
      </c>
      <c r="D35" s="254">
        <f>E33</f>
        <v>334307.70999999996</v>
      </c>
      <c r="E35" s="249"/>
    </row>
    <row r="36" spans="2:8" ht="12" thickTop="1" x14ac:dyDescent="0.2">
      <c r="B36" t="s">
        <v>809</v>
      </c>
      <c r="D36" s="20">
        <f>D33</f>
        <v>16989748.890000001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66621.75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217852.96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1280169.51</v>
      </c>
      <c r="D9" s="95">
        <f>'DOE25'!G10</f>
        <v>0</v>
      </c>
      <c r="E9" s="95">
        <f>'DOE25'!H10</f>
        <v>0</v>
      </c>
      <c r="F9" s="95">
        <f>'DOE25'!I10</f>
        <v>1318882.8999999999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14636.07</v>
      </c>
      <c r="D11" s="95">
        <f>'DOE25'!G12</f>
        <v>0</v>
      </c>
      <c r="E11" s="95">
        <f>'DOE25'!H12</f>
        <v>12797.11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23381.02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1384808.35</v>
      </c>
      <c r="D18" s="41">
        <f>SUM(D8:D17)</f>
        <v>0</v>
      </c>
      <c r="E18" s="41">
        <f>SUM(E8:E17)</f>
        <v>12797.11</v>
      </c>
      <c r="F18" s="41">
        <f>SUM(F8:F17)</f>
        <v>1318882.8999999999</v>
      </c>
      <c r="G18" s="41">
        <f>SUM(G8:G17)</f>
        <v>217852.96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12797.11</v>
      </c>
      <c r="D21" s="95">
        <f>'DOE25'!G22</f>
        <v>0</v>
      </c>
      <c r="E21" s="95">
        <f>'DOE25'!H22</f>
        <v>0</v>
      </c>
      <c r="F21" s="95">
        <f>'DOE25'!I22</f>
        <v>14636.07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477641.74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32397.82</v>
      </c>
      <c r="D23" s="95">
        <f>'DOE25'!G24</f>
        <v>0</v>
      </c>
      <c r="E23" s="95">
        <f>'DOE25'!H24</f>
        <v>0</v>
      </c>
      <c r="F23" s="95">
        <f>'DOE25'!I24</f>
        <v>83431.08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30087.14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11784.26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564708.06999999995</v>
      </c>
      <c r="D31" s="41">
        <f>SUM(D21:D30)</f>
        <v>0</v>
      </c>
      <c r="E31" s="41">
        <f>SUM(E21:E30)</f>
        <v>0</v>
      </c>
      <c r="F31" s="41">
        <f>SUM(F21:F30)</f>
        <v>98067.15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104416.72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12797.11</v>
      </c>
      <c r="F47" s="95">
        <f>'DOE25'!I48</f>
        <v>1220815.75</v>
      </c>
      <c r="G47" s="95">
        <f>'DOE25'!J48</f>
        <v>217852.96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715683.56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820100.28</v>
      </c>
      <c r="D50" s="41">
        <f>SUM(D34:D49)</f>
        <v>0</v>
      </c>
      <c r="E50" s="41">
        <f>SUM(E34:E49)</f>
        <v>12797.11</v>
      </c>
      <c r="F50" s="41">
        <f>SUM(F34:F49)</f>
        <v>1220815.75</v>
      </c>
      <c r="G50" s="41">
        <f>SUM(G34:G49)</f>
        <v>217852.96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1384808.35</v>
      </c>
      <c r="D51" s="41">
        <f>D50+D31</f>
        <v>0</v>
      </c>
      <c r="E51" s="41">
        <f>E50+E31</f>
        <v>12797.11</v>
      </c>
      <c r="F51" s="41">
        <f>F50+F31</f>
        <v>1318882.8999999999</v>
      </c>
      <c r="G51" s="41">
        <f>G50+G31</f>
        <v>217852.96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13909076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12145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3381.24</v>
      </c>
      <c r="D59" s="95">
        <f>'DOE25'!G96</f>
        <v>20.62</v>
      </c>
      <c r="E59" s="95">
        <f>'DOE25'!H96</f>
        <v>0</v>
      </c>
      <c r="F59" s="95">
        <f>'DOE25'!I96</f>
        <v>8832.5300000000007</v>
      </c>
      <c r="G59" s="95">
        <f>'DOE25'!J96</f>
        <v>2157.63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182027.35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114461.87</v>
      </c>
      <c r="D61" s="95">
        <f>SUM('DOE25'!G98:G110)</f>
        <v>0</v>
      </c>
      <c r="E61" s="95">
        <f>SUM('DOE25'!H98:H110)</f>
        <v>16236.5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129988.11</v>
      </c>
      <c r="D62" s="130">
        <f>SUM(D57:D61)</f>
        <v>182047.97</v>
      </c>
      <c r="E62" s="130">
        <f>SUM(E57:E61)</f>
        <v>16236.5</v>
      </c>
      <c r="F62" s="130">
        <f>SUM(F57:F61)</f>
        <v>8832.5300000000007</v>
      </c>
      <c r="G62" s="130">
        <f>SUM(G57:G61)</f>
        <v>2157.63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14039064.109999999</v>
      </c>
      <c r="D63" s="22">
        <f>D56+D62</f>
        <v>182047.97</v>
      </c>
      <c r="E63" s="22">
        <f>E56+E62</f>
        <v>16236.5</v>
      </c>
      <c r="F63" s="22">
        <f>F56+F62</f>
        <v>8832.5300000000007</v>
      </c>
      <c r="G63" s="22">
        <f>G56+G62</f>
        <v>2157.63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2133903.58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1705467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23711.08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3863081.66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6942.55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4896.2700000000004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6942.55</v>
      </c>
      <c r="D78" s="130">
        <f>SUM(D72:D77)</f>
        <v>4896.2700000000004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3870024.21</v>
      </c>
      <c r="D81" s="130">
        <f>SUM(D79:D80)+D78+D70</f>
        <v>4896.2700000000004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221529.95</v>
      </c>
      <c r="D88" s="95">
        <f>SUM('DOE25'!G153:G161)</f>
        <v>117618.7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221529.95</v>
      </c>
      <c r="D91" s="131">
        <f>SUM(D85:D90)</f>
        <v>117618.7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18130618.27</v>
      </c>
      <c r="D104" s="86">
        <f>D63+D81+D91+D103</f>
        <v>304562.94</v>
      </c>
      <c r="E104" s="86">
        <f>E63+E81+E91+E103</f>
        <v>16236.5</v>
      </c>
      <c r="F104" s="86">
        <f>F63+F81+F91+F103</f>
        <v>8832.5300000000007</v>
      </c>
      <c r="G104" s="86">
        <f>G63+G81+G103</f>
        <v>2157.63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7844535.2800000003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3851896.36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26153.17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11722584.810000001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1648440.0899999999</v>
      </c>
      <c r="D118" s="24" t="s">
        <v>286</v>
      </c>
      <c r="E118" s="95">
        <f>+('DOE25'!L281)+('DOE25'!L300)+('DOE25'!L319)</f>
        <v>14412.58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816497.14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384763.66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961540.31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1015139.3899999998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607383.75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304562.93999999994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5433764.3399999999</v>
      </c>
      <c r="D128" s="86">
        <f>SUM(D118:D127)</f>
        <v>304562.93999999994</v>
      </c>
      <c r="E128" s="86">
        <f>SUM(E118:E127)</f>
        <v>14412.58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3075900.99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468225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213041.45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1471.7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685.93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-2157.63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681266.45</v>
      </c>
      <c r="D144" s="141">
        <f>SUM(D130:D143)</f>
        <v>0</v>
      </c>
      <c r="E144" s="141">
        <f>SUM(E130:E143)</f>
        <v>0</v>
      </c>
      <c r="F144" s="141">
        <f>SUM(F130:F143)</f>
        <v>3075900.99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17837615.599999998</v>
      </c>
      <c r="D145" s="86">
        <f>(D115+D128+D144)</f>
        <v>304562.93999999994</v>
      </c>
      <c r="E145" s="86">
        <f>(E115+E128+E144)</f>
        <v>14412.58</v>
      </c>
      <c r="F145" s="86">
        <f>(F115+F128+F144)</f>
        <v>3075900.99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6/16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8/26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4663225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0.05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4663225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4663225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468225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468225</v>
      </c>
    </row>
    <row r="159" spans="1:9" x14ac:dyDescent="0.2">
      <c r="A159" s="22" t="s">
        <v>35</v>
      </c>
      <c r="B159" s="137">
        <f>'DOE25'!F498</f>
        <v>4195000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4195000</v>
      </c>
    </row>
    <row r="160" spans="1:9" x14ac:dyDescent="0.2">
      <c r="A160" s="22" t="s">
        <v>36</v>
      </c>
      <c r="B160" s="137">
        <f>'DOE25'!F499</f>
        <v>890093.5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890093.5</v>
      </c>
    </row>
    <row r="161" spans="1:7" x14ac:dyDescent="0.2">
      <c r="A161" s="22" t="s">
        <v>37</v>
      </c>
      <c r="B161" s="137">
        <f>'DOE25'!F500</f>
        <v>5085093.5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5085093.5</v>
      </c>
    </row>
    <row r="162" spans="1:7" x14ac:dyDescent="0.2">
      <c r="A162" s="22" t="s">
        <v>38</v>
      </c>
      <c r="B162" s="137">
        <f>'DOE25'!F501</f>
        <v>470000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470000</v>
      </c>
    </row>
    <row r="163" spans="1:7" x14ac:dyDescent="0.2">
      <c r="A163" s="22" t="s">
        <v>39</v>
      </c>
      <c r="B163" s="137">
        <f>'DOE25'!F502</f>
        <v>189492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189492</v>
      </c>
    </row>
    <row r="164" spans="1:7" x14ac:dyDescent="0.2">
      <c r="A164" s="22" t="s">
        <v>246</v>
      </c>
      <c r="B164" s="137">
        <f>'DOE25'!F503</f>
        <v>659492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659492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EXETER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17703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17703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7844535</v>
      </c>
      <c r="D10" s="182">
        <f>ROUND((C10/$C$28)*100,1)</f>
        <v>44.8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3851896</v>
      </c>
      <c r="D11" s="182">
        <f>ROUND((C11/$C$28)*100,1)</f>
        <v>22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26153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1662853</v>
      </c>
      <c r="D15" s="182">
        <f t="shared" ref="D15:D27" si="0">ROUND((C15/$C$28)*100,1)</f>
        <v>9.5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816497</v>
      </c>
      <c r="D16" s="182">
        <f t="shared" si="0"/>
        <v>4.7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384764</v>
      </c>
      <c r="D17" s="182">
        <f t="shared" si="0"/>
        <v>2.2000000000000002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961540</v>
      </c>
      <c r="D18" s="182">
        <f t="shared" si="0"/>
        <v>5.5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1015139</v>
      </c>
      <c r="D20" s="182">
        <f t="shared" si="0"/>
        <v>5.8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607384</v>
      </c>
      <c r="D21" s="182">
        <f t="shared" si="0"/>
        <v>3.5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213041</v>
      </c>
      <c r="D25" s="182">
        <f t="shared" si="0"/>
        <v>1.2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122535.65</v>
      </c>
      <c r="D27" s="182">
        <f t="shared" si="0"/>
        <v>0.7</v>
      </c>
    </row>
    <row r="28" spans="1:4" x14ac:dyDescent="0.2">
      <c r="B28" s="187" t="s">
        <v>717</v>
      </c>
      <c r="C28" s="180">
        <f>SUM(C10:C27)</f>
        <v>17506337.649999999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3075901</v>
      </c>
    </row>
    <row r="30" spans="1:4" x14ac:dyDescent="0.2">
      <c r="B30" s="187" t="s">
        <v>723</v>
      </c>
      <c r="C30" s="180">
        <f>SUM(C28:C29)</f>
        <v>20582238.649999999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468225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13909076</v>
      </c>
      <c r="D35" s="182">
        <f t="shared" ref="D35:D40" si="1">ROUND((C35/$C$41)*100,1)</f>
        <v>76.099999999999994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157235.3900000006</v>
      </c>
      <c r="D36" s="182">
        <f t="shared" si="1"/>
        <v>0.9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3839371</v>
      </c>
      <c r="D37" s="182">
        <f t="shared" si="1"/>
        <v>21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35550</v>
      </c>
      <c r="D38" s="182">
        <f t="shared" si="1"/>
        <v>0.2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339149</v>
      </c>
      <c r="D39" s="182">
        <f t="shared" si="1"/>
        <v>1.9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18280381.390000001</v>
      </c>
      <c r="D41" s="184">
        <f>SUM(D35:D40)</f>
        <v>100.10000000000001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EXETER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2018-09-05T12:10:45Z</cp:lastPrinted>
  <dcterms:created xsi:type="dcterms:W3CDTF">1997-12-04T19:04:30Z</dcterms:created>
  <dcterms:modified xsi:type="dcterms:W3CDTF">2018-11-13T19:39:24Z</dcterms:modified>
</cp:coreProperties>
</file>