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G239" i="1" l="1"/>
  <c r="G235" i="1"/>
  <c r="G234" i="1"/>
  <c r="G221" i="1"/>
  <c r="G216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D50" i="2" s="1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" i="10" s="1"/>
  <c r="L234" i="1"/>
  <c r="L235" i="1"/>
  <c r="C111" i="2" s="1"/>
  <c r="L236" i="1"/>
  <c r="C13" i="10" s="1"/>
  <c r="F6" i="13"/>
  <c r="G6" i="13"/>
  <c r="L202" i="1"/>
  <c r="L220" i="1"/>
  <c r="L238" i="1"/>
  <c r="D6" i="13" s="1"/>
  <c r="C6" i="13" s="1"/>
  <c r="F7" i="13"/>
  <c r="G7" i="13"/>
  <c r="L203" i="1"/>
  <c r="L221" i="1"/>
  <c r="D7" i="13" s="1"/>
  <c r="C7" i="13" s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G651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28" i="1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E131" i="2" s="1"/>
  <c r="L342" i="1"/>
  <c r="C25" i="10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7" i="10"/>
  <c r="C19" i="10"/>
  <c r="L250" i="1"/>
  <c r="L332" i="1"/>
  <c r="L254" i="1"/>
  <c r="L268" i="1"/>
  <c r="C142" i="2" s="1"/>
  <c r="L269" i="1"/>
  <c r="L349" i="1"/>
  <c r="L350" i="1"/>
  <c r="I665" i="1"/>
  <c r="I670" i="1"/>
  <c r="L211" i="1"/>
  <c r="F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E112" i="2"/>
  <c r="C113" i="2"/>
  <c r="E113" i="2"/>
  <c r="D115" i="2"/>
  <c r="F115" i="2"/>
  <c r="G115" i="2"/>
  <c r="E118" i="2"/>
  <c r="E128" i="2" s="1"/>
  <c r="C119" i="2"/>
  <c r="E119" i="2"/>
  <c r="E120" i="2"/>
  <c r="C121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F338" i="1" s="1"/>
  <c r="F352" i="1" s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H476" i="1" s="1"/>
  <c r="H624" i="1" s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9" i="1"/>
  <c r="J649" i="1" s="1"/>
  <c r="G650" i="1"/>
  <c r="G652" i="1"/>
  <c r="H652" i="1"/>
  <c r="G653" i="1"/>
  <c r="H653" i="1"/>
  <c r="G654" i="1"/>
  <c r="H654" i="1"/>
  <c r="H655" i="1"/>
  <c r="F192" i="1"/>
  <c r="G164" i="2"/>
  <c r="C18" i="2"/>
  <c r="C26" i="10"/>
  <c r="L290" i="1"/>
  <c r="F660" i="1" s="1"/>
  <c r="C70" i="2"/>
  <c r="A40" i="12"/>
  <c r="D12" i="13"/>
  <c r="C12" i="13" s="1"/>
  <c r="D18" i="13"/>
  <c r="C18" i="13" s="1"/>
  <c r="D18" i="2"/>
  <c r="D17" i="13"/>
  <c r="C17" i="13" s="1"/>
  <c r="C91" i="2"/>
  <c r="F78" i="2"/>
  <c r="F81" i="2" s="1"/>
  <c r="G157" i="2"/>
  <c r="F18" i="2"/>
  <c r="G161" i="2"/>
  <c r="E103" i="2"/>
  <c r="D91" i="2"/>
  <c r="E31" i="2"/>
  <c r="G62" i="2"/>
  <c r="D19" i="13"/>
  <c r="C19" i="13" s="1"/>
  <c r="E13" i="13"/>
  <c r="C13" i="13" s="1"/>
  <c r="E78" i="2"/>
  <c r="E81" i="2" s="1"/>
  <c r="L427" i="1"/>
  <c r="H112" i="1"/>
  <c r="F112" i="1"/>
  <c r="J641" i="1"/>
  <c r="J571" i="1"/>
  <c r="K571" i="1"/>
  <c r="L433" i="1"/>
  <c r="L419" i="1"/>
  <c r="D81" i="2"/>
  <c r="I169" i="1"/>
  <c r="H169" i="1"/>
  <c r="G552" i="1"/>
  <c r="J643" i="1"/>
  <c r="F476" i="1"/>
  <c r="H622" i="1" s="1"/>
  <c r="I476" i="1"/>
  <c r="H625" i="1" s="1"/>
  <c r="J625" i="1" s="1"/>
  <c r="G476" i="1"/>
  <c r="H623" i="1" s="1"/>
  <c r="F169" i="1"/>
  <c r="J140" i="1"/>
  <c r="I552" i="1"/>
  <c r="K549" i="1"/>
  <c r="G22" i="2"/>
  <c r="K545" i="1"/>
  <c r="J552" i="1"/>
  <c r="H552" i="1"/>
  <c r="C29" i="10"/>
  <c r="H140" i="1"/>
  <c r="L401" i="1"/>
  <c r="C139" i="2" s="1"/>
  <c r="L393" i="1"/>
  <c r="C138" i="2" s="1"/>
  <c r="F22" i="13"/>
  <c r="H25" i="13"/>
  <c r="C25" i="13" s="1"/>
  <c r="H571" i="1"/>
  <c r="L560" i="1"/>
  <c r="H338" i="1"/>
  <c r="H352" i="1" s="1"/>
  <c r="G192" i="1"/>
  <c r="H192" i="1"/>
  <c r="C35" i="10"/>
  <c r="L309" i="1"/>
  <c r="E16" i="13"/>
  <c r="L570" i="1"/>
  <c r="I571" i="1"/>
  <c r="J636" i="1"/>
  <c r="G36" i="2"/>
  <c r="L565" i="1"/>
  <c r="C22" i="13"/>
  <c r="C16" i="13"/>
  <c r="L524" i="1" l="1"/>
  <c r="J623" i="1"/>
  <c r="J622" i="1"/>
  <c r="L614" i="1"/>
  <c r="D62" i="2"/>
  <c r="D63" i="2" s="1"/>
  <c r="A13" i="12"/>
  <c r="A31" i="12"/>
  <c r="I545" i="1"/>
  <c r="H545" i="1"/>
  <c r="F552" i="1"/>
  <c r="K550" i="1"/>
  <c r="K551" i="1"/>
  <c r="L529" i="1"/>
  <c r="L545" i="1" s="1"/>
  <c r="C123" i="2"/>
  <c r="E8" i="13"/>
  <c r="C8" i="13" s="1"/>
  <c r="C112" i="2"/>
  <c r="C118" i="2"/>
  <c r="C12" i="10"/>
  <c r="K598" i="1"/>
  <c r="G647" i="1" s="1"/>
  <c r="J651" i="1"/>
  <c r="E114" i="2"/>
  <c r="E115" i="2" s="1"/>
  <c r="G338" i="1"/>
  <c r="G352" i="1" s="1"/>
  <c r="H33" i="13"/>
  <c r="J634" i="1"/>
  <c r="J640" i="1"/>
  <c r="J639" i="1"/>
  <c r="G645" i="1"/>
  <c r="J645" i="1" s="1"/>
  <c r="J655" i="1"/>
  <c r="L256" i="1"/>
  <c r="F661" i="1"/>
  <c r="F664" i="1" s="1"/>
  <c r="F672" i="1" s="1"/>
  <c r="C4" i="10" s="1"/>
  <c r="D127" i="2"/>
  <c r="D128" i="2" s="1"/>
  <c r="D145" i="2" s="1"/>
  <c r="G661" i="1"/>
  <c r="D29" i="13"/>
  <c r="C29" i="13" s="1"/>
  <c r="H661" i="1"/>
  <c r="L362" i="1"/>
  <c r="C27" i="10" s="1"/>
  <c r="C124" i="2"/>
  <c r="D15" i="13"/>
  <c r="C15" i="13" s="1"/>
  <c r="H647" i="1"/>
  <c r="C21" i="10"/>
  <c r="K257" i="1"/>
  <c r="K271" i="1" s="1"/>
  <c r="H662" i="1"/>
  <c r="I662" i="1" s="1"/>
  <c r="C20" i="10"/>
  <c r="D14" i="13"/>
  <c r="C14" i="13" s="1"/>
  <c r="L351" i="1"/>
  <c r="C32" i="10"/>
  <c r="K352" i="1"/>
  <c r="C18" i="10"/>
  <c r="E33" i="13"/>
  <c r="D35" i="13" s="1"/>
  <c r="C16" i="10"/>
  <c r="H257" i="1"/>
  <c r="H271" i="1" s="1"/>
  <c r="C15" i="10"/>
  <c r="J257" i="1"/>
  <c r="J271" i="1" s="1"/>
  <c r="G257" i="1"/>
  <c r="G271" i="1" s="1"/>
  <c r="D5" i="13"/>
  <c r="C5" i="13" s="1"/>
  <c r="I257" i="1"/>
  <c r="I271" i="1" s="1"/>
  <c r="C110" i="2"/>
  <c r="L229" i="1"/>
  <c r="G660" i="1" s="1"/>
  <c r="F257" i="1"/>
  <c r="F271" i="1" s="1"/>
  <c r="L247" i="1"/>
  <c r="H660" i="1" s="1"/>
  <c r="C109" i="2"/>
  <c r="C62" i="2"/>
  <c r="C63" i="2" s="1"/>
  <c r="C78" i="2"/>
  <c r="C81" i="2"/>
  <c r="J624" i="1"/>
  <c r="H52" i="1"/>
  <c r="H619" i="1" s="1"/>
  <c r="J619" i="1" s="1"/>
  <c r="D31" i="2"/>
  <c r="J617" i="1"/>
  <c r="L337" i="1"/>
  <c r="L338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K552" i="1" l="1"/>
  <c r="C128" i="2"/>
  <c r="J647" i="1"/>
  <c r="E145" i="2"/>
  <c r="D31" i="13"/>
  <c r="C31" i="13" s="1"/>
  <c r="H646" i="1"/>
  <c r="J646" i="1" s="1"/>
  <c r="G664" i="1"/>
  <c r="G667" i="1" s="1"/>
  <c r="I661" i="1"/>
  <c r="F667" i="1"/>
  <c r="G635" i="1"/>
  <c r="J635" i="1" s="1"/>
  <c r="H664" i="1"/>
  <c r="H667" i="1" s="1"/>
  <c r="L352" i="1"/>
  <c r="G633" i="1" s="1"/>
  <c r="J633" i="1" s="1"/>
  <c r="H648" i="1"/>
  <c r="J648" i="1" s="1"/>
  <c r="C28" i="10"/>
  <c r="D22" i="10" s="1"/>
  <c r="C115" i="2"/>
  <c r="C145" i="2" s="1"/>
  <c r="L257" i="1"/>
  <c r="L271" i="1" s="1"/>
  <c r="G632" i="1" s="1"/>
  <c r="J632" i="1" s="1"/>
  <c r="I660" i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I664" i="1" l="1"/>
  <c r="I672" i="1" s="1"/>
  <c r="C7" i="10" s="1"/>
  <c r="G672" i="1"/>
  <c r="C5" i="10" s="1"/>
  <c r="H672" i="1"/>
  <c r="C6" i="10" s="1"/>
  <c r="D10" i="10"/>
  <c r="D12" i="10"/>
  <c r="C30" i="10"/>
  <c r="D23" i="10"/>
  <c r="D26" i="10"/>
  <c r="D18" i="10"/>
  <c r="D16" i="10"/>
  <c r="D27" i="10"/>
  <c r="D17" i="10"/>
  <c r="D24" i="10"/>
  <c r="D15" i="10"/>
  <c r="D25" i="10"/>
  <c r="D19" i="10"/>
  <c r="D20" i="10"/>
  <c r="D13" i="10"/>
  <c r="D11" i="10"/>
  <c r="D21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<sst xmlns="http://schemas.openxmlformats.org/spreadsheetml/2006/main" count="3961" uniqueCount="916">
  <si>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</si>
  <si>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</si>
  <si>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</si>
  <si>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</si>
  <si>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</si>
  <si>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</si>
  <si>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</si>
  <si>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</si>
  <si>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</si>
  <si>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</si>
  <si>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</si>
  <si>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</si>
  <si>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</si>
  <si>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</si>
  <si>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</si>
  <si>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</si>
  <si>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</si>
  <si>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</si>
  <si>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</si>
  <si>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</si>
  <si>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</si>
  <si>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</si>
  <si>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</si>
  <si>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</si>
  <si>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</si>
  <si>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</si>
  <si>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</si>
  <si>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</si>
  <si>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</si>
  <si>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</si>
  <si>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</si>
  <si>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</si>
  <si>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</si>
  <si>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</si>
  <si>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</si>
  <si>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</si>
  <si>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</si>
  <si>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</si>
  <si>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</si>
  <si>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</si>
  <si>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</si>
  <si>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</si>
  <si>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</si>
  <si>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</si>
  <si>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</si>
  <si>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</si>
  <si>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</si>
  <si>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</si>
  <si>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</si>
  <si>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</si>
  <si>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</si>
  <si>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</si>
  <si>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</si>
  <si>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</si>
  <si>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</si>
  <si>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</si>
  <si>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</si>
  <si>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</si>
  <si>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</si>
  <si>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</si>
  <si>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</si>
  <si>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</si>
  <si>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</si>
  <si>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</si>
  <si>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</si>
  <si>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</si>
  <si>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</si>
  <si>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</si>
  <si>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</si>
  <si>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</si>
  <si>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</si>
  <si>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</si>
  <si>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</si>
  <si>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</si>
  <si>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</si>
  <si>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</si>
  <si>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</si>
  <si>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</si>
  <si>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</si>
  <si>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</si>
  <si>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</si>
  <si>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</si>
  <si>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</si>
  <si>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</si>
  <si>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</si>
  <si>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</si>
  <si>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</si>
  <si>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</si>
  <si>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</si>
  <si>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</si>
  <si>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</si>
  <si>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</si>
  <si>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</si>
  <si>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</si>
  <si>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</si>
  <si>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</si>
  <si>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</si>
  <si>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</si>
  <si>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</si>
  <si>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</si>
  <si>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</si>
  <si>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</si>
  <si>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</si>
  <si>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</si>
  <si>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</si>
  <si>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</si>
  <si>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</si>
  <si>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</si>
  <si>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</si>
  <si>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</si>
  <si>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</si>
  <si>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</si>
  <si>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</si>
  <si>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</si>
  <si>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</si>
  <si>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</si>
  <si>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</si>
  <si>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</si>
  <si>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</si>
  <si>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</si>
  <si>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</si>
  <si>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</si>
  <si>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</si>
  <si>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</si>
  <si>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</si>
  <si>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</si>
  <si>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</si>
  <si>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</si>
  <si>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</si>
  <si>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</si>
  <si>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</si>
  <si>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</si>
  <si>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</si>
  <si>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</si>
  <si>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</si>
  <si>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</si>
  <si>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</si>
  <si>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</si>
  <si>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</si>
  <si>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</si>
  <si>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</si>
  <si>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</si>
  <si>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</si>
  <si>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</si>
  <si>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</si>
  <si>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</si>
  <si>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</si>
  <si>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</si>
  <si>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</si>
  <si>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</si>
  <si>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</si>
  <si>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</si>
  <si>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</si>
  <si>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</si>
  <si>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</si>
  <si>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</si>
  <si>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</si>
  <si>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</si>
  <si>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</si>
  <si>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</si>
  <si>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</si>
  <si>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</si>
  <si>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</si>
  <si>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</si>
  <si>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</si>
  <si>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</si>
  <si>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</si>
  <si>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</si>
  <si>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</si>
  <si>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</si>
  <si>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</si>
  <si>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</si>
  <si>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</si>
  <si>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</si>
  <si>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</si>
  <si>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</si>
  <si>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</si>
  <si>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</si>
  <si>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</si>
  <si>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</si>
  <si>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</si>
  <si>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</si>
  <si>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</si>
  <si>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</si>
  <si>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</si>
  <si>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</si>
  <si>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</si>
  <si>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</si>
  <si>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</si>
  <si>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</si>
  <si>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</si>
  <si>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</si>
  <si>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</si>
  <si>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</si>
  <si>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</si>
  <si>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</si>
  <si>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</si>
  <si>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</si>
  <si>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</si>
  <si>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</si>
  <si>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</si>
  <si>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</si>
  <si>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</si>
  <si>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</si>
  <si>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</si>
  <si>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</si>
  <si>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</si>
  <si>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</si>
  <si>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</si>
  <si>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</si>
  <si>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</si>
  <si>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</si>
  <si>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</si>
  <si>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</si>
  <si>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</si>
  <si>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</si>
  <si>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</si>
  <si>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</si>
  <si>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</si>
  <si>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</si>
  <si>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</si>
  <si>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</si>
  <si>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</si>
  <si>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</si>
  <si>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</si>
  <si>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</si>
  <si>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</si>
  <si>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</si>
  <si>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</si>
  <si>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</si>
  <si>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</si>
  <si>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</si>
  <si>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</si>
  <si>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</si>
  <si>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</si>
  <si>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</si>
  <si>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</si>
  <si>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</si>
  <si>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</si>
  <si>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</si>
  <si>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</si>
  <si>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</si>
  <si>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</si>
  <si>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</si>
  <si>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</si>
  <si>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</si>
  <si>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</si>
  <si>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</si>
  <si>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</si>
  <si>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</si>
  <si>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</si>
  <si>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</si>
  <si>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</si>
  <si>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</si>
  <si>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</si>
  <si>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</si>
  <si>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</si>
  <si>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</si>
  <si>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</si>
  <si>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</si>
  <si>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</si>
  <si>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</si>
  <si>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</si>
  <si>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</si>
  <si>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</si>
  <si>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</si>
  <si>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</si>
  <si>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</si>
  <si>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</si>
  <si>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</si>
  <si>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</si>
  <si>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</si>
  <si>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</si>
  <si>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</si>
  <si>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</si>
  <si>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</si>
  <si>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</si>
  <si>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</si>
  <si>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</si>
  <si>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</si>
  <si>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</si>
  <si>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</si>
  <si>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</si>
  <si>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</si>
  <si>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</si>
  <si>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</si>
  <si>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</si>
  <si>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</si>
  <si>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</si>
  <si>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</si>
  <si>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</si>
  <si>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</si>
  <si>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</si>
  <si>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</si>
  <si>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</si>
  <si>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</si>
  <si>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</si>
  <si>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</si>
  <si>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</si>
  <si>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</si>
  <si>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</si>
  <si>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</si>
  <si>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</si>
  <si>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</si>
  <si>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</si>
  <si>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</si>
  <si>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</si>
  <si>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</si>
  <si>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</si>
  <si>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</si>
  <si>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</si>
  <si>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</si>
  <si>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</si>
  <si>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</si>
  <si>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</si>
  <si>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</si>
  <si>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</si>
  <si>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</si>
  <si>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</si>
  <si>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</si>
  <si>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</si>
  <si>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</si>
  <si>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</si>
  <si>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</si>
  <si>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</si>
  <si>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</si>
  <si>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</si>
  <si>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</si>
  <si>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</si>
  <si>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</si>
  <si>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</si>
  <si>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</si>
  <si>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</si>
  <si>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</si>
  <si>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</si>
  <si>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</si>
  <si>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</si>
  <si>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</si>
  <si>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</si>
  <si>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</si>
  <si>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</si>
  <si>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</si>
  <si>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</si>
  <si>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</si>
  <si>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</si>
  <si>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</si>
  <si>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</si>
  <si>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</si>
  <si>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</si>
  <si>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</si>
  <si>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</si>
  <si>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</si>
  <si>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</si>
  <si>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</si>
  <si>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</si>
  <si>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</si>
  <si>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</si>
  <si>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</si>
  <si>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</si>
  <si>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</si>
  <si>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</si>
  <si>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</si>
  <si>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</si>
  <si>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</si>
  <si>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</si>
  <si>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</si>
  <si>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</si>
  <si>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</si>
  <si>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</si>
  <si>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</si>
  <si>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</si>
  <si>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</si>
  <si>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</si>
  <si>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</si>
  <si>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</si>
  <si>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</si>
  <si>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</si>
  <si>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</si>
  <si>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</si>
  <si>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</si>
  <si>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</si>
  <si>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</si>
  <si>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</si>
  <si>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</si>
  <si>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</si>
  <si>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</si>
  <si>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</si>
  <si>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</si>
  <si>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</si>
  <si>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</si>
  <si>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</si>
  <si>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</si>
  <si>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</si>
  <si>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</si>
  <si>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</si>
  <si>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</si>
  <si>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</si>
  <si>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</si>
  <si>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</si>
  <si>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</si>
  <si>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</si>
  <si>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</si>
  <si>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</si>
  <si>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</si>
  <si>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</si>
  <si>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</si>
  <si>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</si>
  <si>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</si>
  <si>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</si>
  <si>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</si>
  <si>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</si>
  <si>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</si>
  <si>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</si>
  <si>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</si>
  <si>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</si>
  <si>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</si>
  <si>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</si>
  <si>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</si>
  <si>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</si>
  <si>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</si>
  <si>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</si>
  <si>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</si>
  <si>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</si>
  <si>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</si>
  <si>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</si>
  <si>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</si>
  <si>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</si>
  <si>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</si>
  <si>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</si>
  <si>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</si>
  <si>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</si>
  <si>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</si>
  <si>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</si>
  <si>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</si>
  <si>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</si>
  <si>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</si>
  <si>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</si>
  <si>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</si>
  <si>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</si>
  <si>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</si>
  <si>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</si>
  <si>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</si>
  <si>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</si>
  <si>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</si>
  <si>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</si>
  <si>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</si>
  <si>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</si>
  <si>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</si>
  <si>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</si>
  <si>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</si>
  <si>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</si>
  <si>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</si>
  <si>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</si>
  <si>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</si>
  <si>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</si>
  <si>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</si>
  <si>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</si>
  <si>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</si>
  <si>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</si>
  <si>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</si>
  <si>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</si>
  <si>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</si>
  <si>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</si>
  <si>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</si>
  <si>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</si>
  <si>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</si>
  <si>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</si>
  <si>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</si>
  <si>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</si>
  <si>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</si>
  <si>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</si>
  <si>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</si>
  <si>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</si>
  <si>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</si>
  <si>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</si>
  <si>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</si>
  <si>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</si>
  <si>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</si>
  <si>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</si>
  <si>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</si>
  <si>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</si>
  <si>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</si>
  <si>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</si>
  <si>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</si>
  <si>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</si>
  <si>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</si>
  <si>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</si>
  <si>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</si>
  <si>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</si>
  <si>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</si>
  <si>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</si>
  <si>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</si>
  <si>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</si>
  <si>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</si>
  <si>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</si>
  <si>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</si>
  <si>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</si>
  <si>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</si>
  <si>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</si>
  <si>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</si>
  <si>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</si>
  <si>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</si>
  <si>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</si>
  <si>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</si>
  <si>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</si>
  <si>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</si>
  <si>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</si>
  <si>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</si>
  <si>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</si>
  <si>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</si>
  <si>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</si>
  <si>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</si>
  <si>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</si>
  <si>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</si>
  <si>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</si>
  <si>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</si>
  <si>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</si>
  <si>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</si>
  <si>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</si>
  <si>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</si>
  <si>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</si>
  <si>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</si>
  <si>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</si>
  <si>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</si>
  <si>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</si>
  <si>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</si>
  <si>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</si>
  <si>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</si>
  <si>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</si>
  <si>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</si>
  <si>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</si>
  <si>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</si>
  <si>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</si>
  <si>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</si>
  <si>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</si>
  <si>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</si>
  <si>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</si>
  <si>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</si>
  <si>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</si>
  <si>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</si>
  <si>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</si>
  <si>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</si>
  <si>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</si>
  <si>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</si>
  <si>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</si>
  <si>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</si>
  <si>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</si>
  <si>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</si>
  <si>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</si>
  <si>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</si>
  <si>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</si>
  <si>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</si>
  <si>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</si>
  <si>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</si>
  <si>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</si>
  <si>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</si>
  <si>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</si>
  <si>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</si>
  <si>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</si>
  <si>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</si>
  <si>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</si>
  <si>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</si>
  <si>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</si>
  <si>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</si>
  <si>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</si>
  <si>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</si>
  <si>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</si>
  <si>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</si>
  <si>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</si>
  <si>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</si>
  <si>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</si>
  <si>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</si>
  <si>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</si>
  <si>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</si>
  <si>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</si>
  <si>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</si>
  <si>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</si>
  <si>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</si>
  <si>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</si>
  <si>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</si>
  <si>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</si>
  <si>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</si>
  <si>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</si>
  <si>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</si>
  <si>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</si>
  <si>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</si>
  <si>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</si>
  <si>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</si>
  <si>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</si>
  <si>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</si>
  <si>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</si>
  <si>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</si>
  <si>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</si>
  <si>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</si>
  <si>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</si>
  <si>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</si>
  <si>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</si>
  <si>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</si>
  <si>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</si>
  <si>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</si>
  <si>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</si>
  <si>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</si>
  <si>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</si>
  <si>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</si>
  <si>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</si>
  <si>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</si>
  <si>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</si>
  <si>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</si>
  <si>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</si>
  <si>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</si>
  <si>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</si>
  <si>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</si>
  <si>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</si>
  <si>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</si>
  <si>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</si>
  <si>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</si>
  <si>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</si>
  <si>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</si>
  <si>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</si>
  <si>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</si>
  <si>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</si>
  <si>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</si>
  <si>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</si>
  <si>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</si>
  <si>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</si>
  <si>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</si>
  <si>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</si>
  <si>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</si>
  <si>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</si>
  <si>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</si>
  <si>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</si>
  <si>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</si>
  <si>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</si>
  <si>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</si>
  <si>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</si>
  <si>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</si>
  <si>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</si>
  <si>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</si>
  <si>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</si>
  <si>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</si>
  <si>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</si>
  <si>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</si>
  <si>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</si>
  <si>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</si>
  <si>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</si>
  <si>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</si>
  <si>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</si>
  <si>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</si>
  <si>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</si>
  <si>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</si>
  <si>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</si>
  <si>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</si>
  <si>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</si>
  <si>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</si>
  <si>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</si>
  <si>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</si>
  <si>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</si>
  <si>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</si>
  <si>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</si>
  <si>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</si>
  <si>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</si>
  <si>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</si>
  <si>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</si>
  <si>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</si>
  <si>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</si>
  <si>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</si>
  <si>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</si>
  <si>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</si>
  <si>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</si>
  <si>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</si>
  <si>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</si>
  <si>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</si>
  <si>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</si>
  <si>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</si>
  <si>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</si>
  <si>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</si>
  <si>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</si>
  <si>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</si>
  <si>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</si>
  <si>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</si>
  <si>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</si>
  <si>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</si>
  <si>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</si>
  <si>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</si>
  <si>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</si>
  <si>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</si>
  <si>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</si>
  <si>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</si>
  <si>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</si>
  <si>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</si>
  <si>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</si>
  <si>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</si>
  <si>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</si>
  <si>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</si>
  <si>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</si>
  <si>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</si>
  <si>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</si>
  <si>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</si>
  <si>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</si>
  <si>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</si>
  <si>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</si>
  <si>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</si>
  <si>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</si>
  <si>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</si>
  <si>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</si>
  <si>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</si>
  <si>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</si>
  <si>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</si>
  <si>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</si>
  <si>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</si>
  <si>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</si>
  <si>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</si>
  <si>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</si>
  <si>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</si>
  <si>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</si>
  <si>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</si>
  <si>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</si>
  <si>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</si>
  <si>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</si>
  <si>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</si>
  <si>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</si>
  <si>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</si>
  <si>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</si>
  <si>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</si>
  <si>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</si>
  <si>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</si>
  <si>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</si>
  <si>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</si>
  <si>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</si>
  <si>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</si>
  <si>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</si>
  <si>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</si>
  <si>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</si>
  <si>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</si>
  <si>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</si>
  <si>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</si>
  <si>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</si>
  <si>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</si>
  <si>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</si>
  <si>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</si>
  <si>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</si>
  <si>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</si>
  <si>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</si>
  <si>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</si>
  <si>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</si>
  <si>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</si>
  <si>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</si>
  <si>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</si>
  <si>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</si>
  <si>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</si>
  <si>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</si>
  <si>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</si>
  <si>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</si>
  <si>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</si>
  <si>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</si>
  <si>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</si>
  <si>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</si>
  <si>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</si>
  <si>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</si>
  <si>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</si>
  <si>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</si>
  <si>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</si>
  <si>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</si>
  <si>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</si>
  <si>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</si>
  <si>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</si>
  <si>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</si>
  <si>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</si>
  <si>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</si>
  <si>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</si>
  <si>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</si>
  <si>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</si>
  <si>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</si>
  <si>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</si>
  <si>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</si>
  <si>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</si>
  <si>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</si>
  <si>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</si>
  <si>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</si>
  <si>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</si>
  <si>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</si>
  <si>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</si>
  <si>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</si>
  <si>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</si>
  <si>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</si>
  <si>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</si>
  <si>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</si>
  <si>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</si>
  <si>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</si>
  <si>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</si>
  <si>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</si>
  <si>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</si>
  <si>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</si>
  <si>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</si>
  <si>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</si>
  <si>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</si>
  <si>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</si>
  <si>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</si>
  <si>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</si>
  <si>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</si>
  <si>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</si>
  <si>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</si>
  <si>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</si>
  <si>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</si>
  <si>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</si>
  <si>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</si>
  <si>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</si>
  <si>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</si>
  <si>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</si>
  <si>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</si>
  <si>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</si>
  <si>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</si>
  <si>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</si>
  <si>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</si>
  <si>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</si>
  <si>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</si>
  <si>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</si>
  <si>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</si>
  <si>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</si>
  <si>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</si>
  <si>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</si>
  <si>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</si>
  <si>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</si>
  <si>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</si>
  <si>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</si>
  <si>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</si>
  <si>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</si>
  <si>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</si>
  <si>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</si>
  <si>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</si>
  <si>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</si>
  <si>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</si>
  <si>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</si>
  <si>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</si>
  <si>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</si>
  <si>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</si>
  <si>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</si>
  <si>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</si>
  <si>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</si>
  <si>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</si>
  <si>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</si>
  <si>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</si>
  <si>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</si>
  <si>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</si>
  <si>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</si>
  <si>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</si>
  <si>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</si>
  <si>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</si>
  <si>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</si>
  <si>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</si>
  <si>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</si>
  <si>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</si>
  <si>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</si>
  <si>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</si>
  <si>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</si>
  <si>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</si>
  <si>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</si>
  <si>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</si>
  <si>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</si>
  <si>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</si>
  <si>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</si>
  <si>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</si>
  <si>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</si>
  <si>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</si>
  <si>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</si>
  <si>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</si>
  <si>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</si>
  <si>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</si>
  <si>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</si>
  <si>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</si>
  <si>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</si>
  <si>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</si>
  <si>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</si>
  <si>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</si>
  <si>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</si>
  <si>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</si>
  <si>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</si>
  <si>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</si>
  <si>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</si>
  <si>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</si>
  <si>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</si>
  <si>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</si>
  <si>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</si>
  <si>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</si>
  <si>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</si>
  <si>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</si>
  <si>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</si>
  <si>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</si>
  <si>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</si>
  <si>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</si>
  <si>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</si>
  <si>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</si>
  <si>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</si>
  <si>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</si>
  <si>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</si>
  <si>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</si>
  <si>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</si>
  <si>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</si>
  <si>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</si>
  <si>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</si>
  <si>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</si>
  <si>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</si>
  <si>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</si>
  <si>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</si>
  <si>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</si>
  <si>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</si>
  <si>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</si>
  <si>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</si>
  <si>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</si>
  <si>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</si>
  <si>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</si>
  <si>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</si>
  <si>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EXETER REGION COOPERATIVE SCHOOL DISTRICT</t>
  </si>
  <si>
    <t>8/03</t>
  </si>
  <si>
    <t>8/15/23</t>
  </si>
  <si>
    <t>Building Aid from 2013  $20,000.00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</si>
</sst>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172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539931.15</v>
      </c>
      <c r="G9" s="18"/>
      <c r="H9" s="18">
        <v>333585.31</v>
      </c>
      <c r="I9" s="18"/>
      <c r="J9" s="67">
        <f>SUM(I439)</f>
        <v>1631626.9200000002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4449254.22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46407.91</v>
      </c>
      <c r="G12" s="18">
        <v>381852.35</v>
      </c>
      <c r="H12" s="18">
        <v>190982.05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171080.41</v>
      </c>
      <c r="G13" s="18">
        <v>18792.71</v>
      </c>
      <c r="H13" s="18">
        <v>46407.91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31986.58</v>
      </c>
      <c r="G14" s="18">
        <v>509.25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118323.32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5356983.5900000008</v>
      </c>
      <c r="G19" s="41">
        <f>SUM(G9:G18)</f>
        <v>401154.31</v>
      </c>
      <c r="H19" s="41">
        <f>SUM(H9:H18)</f>
        <v>570975.27</v>
      </c>
      <c r="I19" s="41">
        <f>SUM(I9:I18)</f>
        <v>0</v>
      </c>
      <c r="J19" s="41">
        <f>SUM(J9:J18)</f>
        <v>1631626.9200000002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572834.4</v>
      </c>
      <c r="G22" s="18"/>
      <c r="H22" s="18">
        <v>46407.91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1200861.8500000001</v>
      </c>
      <c r="G23" s="18">
        <v>3748.3</v>
      </c>
      <c r="H23" s="18">
        <v>1130.26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118124.06</v>
      </c>
      <c r="G24" s="18">
        <v>9458.16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25091.48</v>
      </c>
      <c r="G28" s="18">
        <v>820.95</v>
      </c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32759.73</v>
      </c>
      <c r="H30" s="18">
        <v>5565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50559.51</v>
      </c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1967471.3</v>
      </c>
      <c r="G32" s="41">
        <f>SUM(G22:G31)</f>
        <v>46787.14</v>
      </c>
      <c r="H32" s="41">
        <f>SUM(H22:H31)</f>
        <v>53103.170000000006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50000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354367.17</v>
      </c>
      <c r="H48" s="18">
        <v>517872.1</v>
      </c>
      <c r="I48" s="18"/>
      <c r="J48" s="13">
        <f>SUM(I459)</f>
        <v>1631626.9200000002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311900.32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3027611.97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3389512.29</v>
      </c>
      <c r="G51" s="41">
        <f>SUM(G35:G50)</f>
        <v>354367.17</v>
      </c>
      <c r="H51" s="41">
        <f>SUM(H35:H50)</f>
        <v>517872.1</v>
      </c>
      <c r="I51" s="41">
        <f>SUM(I35:I50)</f>
        <v>0</v>
      </c>
      <c r="J51" s="41">
        <f>SUM(J35:J50)</f>
        <v>1631626.9200000002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5356983.59</v>
      </c>
      <c r="G52" s="41">
        <f>G51+G32</f>
        <v>401154.31</v>
      </c>
      <c r="H52" s="41">
        <f>H51+H32</f>
        <v>570975.27</v>
      </c>
      <c r="I52" s="41">
        <f>I51+I32</f>
        <v>0</v>
      </c>
      <c r="J52" s="41">
        <f>J51+J32</f>
        <v>1631626.9200000002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35915870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35915870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102962.7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956921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181916.72</v>
      </c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1241800.42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11587.19</v>
      </c>
      <c r="G96" s="18">
        <v>88.08</v>
      </c>
      <c r="H96" s="18"/>
      <c r="I96" s="18"/>
      <c r="J96" s="18">
        <v>15788.05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779730.77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>
        <v>933920.22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>
        <v>65792.240000000005</v>
      </c>
      <c r="H99" s="18">
        <v>3690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103967.91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155151.85999999999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270706.95999999996</v>
      </c>
      <c r="G111" s="41">
        <f>SUM(G96:G110)</f>
        <v>845611.09</v>
      </c>
      <c r="H111" s="41">
        <f>SUM(H96:H110)</f>
        <v>937610.22</v>
      </c>
      <c r="I111" s="41">
        <f>SUM(I96:I110)</f>
        <v>0</v>
      </c>
      <c r="J111" s="41">
        <f>SUM(J96:J110)</f>
        <v>15788.05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37428377.380000003</v>
      </c>
      <c r="G112" s="41">
        <f>G60+G111</f>
        <v>845611.09</v>
      </c>
      <c r="H112" s="41">
        <f>H60+H79+H94+H111</f>
        <v>937610.22</v>
      </c>
      <c r="I112" s="41">
        <f>I60+I111</f>
        <v>0</v>
      </c>
      <c r="J112" s="41">
        <f>J60+J111</f>
        <v>15788.05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6264304.7000000002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5987514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31400.95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12283219.649999999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1173051.5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406225.3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1176358.49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9814.3700000000008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2755635.29</v>
      </c>
      <c r="G136" s="41">
        <f>SUM(G123:G135)</f>
        <v>9814.3700000000008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15038854.939999998</v>
      </c>
      <c r="G140" s="41">
        <f>G121+SUM(G136:G137)</f>
        <v>9814.3700000000008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343411.1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225141.64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390604.74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390604.74</v>
      </c>
      <c r="G162" s="41">
        <f>SUM(G150:G161)</f>
        <v>225141.64</v>
      </c>
      <c r="H162" s="41">
        <f>SUM(H150:H161)</f>
        <v>343411.1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390604.74</v>
      </c>
      <c r="G169" s="41">
        <f>G147+G162+SUM(G163:G168)</f>
        <v>225141.64</v>
      </c>
      <c r="H169" s="41">
        <f>H147+H162+SUM(H163:H168)</f>
        <v>343411.1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52857837.060000002</v>
      </c>
      <c r="G193" s="47">
        <f>G112+G140+G169+G192</f>
        <v>1080567.1000000001</v>
      </c>
      <c r="H193" s="47">
        <f>H112+H140+H169+H192</f>
        <v>1281021.3199999998</v>
      </c>
      <c r="I193" s="47">
        <f>I112+I140+I169+I192</f>
        <v>0</v>
      </c>
      <c r="J193" s="47">
        <f>J112+J140+J192</f>
        <v>65788.05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6586335.6900000004</v>
      </c>
      <c r="G215" s="18">
        <v>2848947.27</v>
      </c>
      <c r="H215" s="18"/>
      <c r="I215" s="18">
        <v>128945.77</v>
      </c>
      <c r="J215" s="18"/>
      <c r="K215" s="18"/>
      <c r="L215" s="19">
        <f>SUM(F215:K215)</f>
        <v>9564228.7300000004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2201231.13</v>
      </c>
      <c r="G216" s="18">
        <f>952151.81+4474.5</f>
        <v>956626.31</v>
      </c>
      <c r="H216" s="18">
        <v>535121.32999999996</v>
      </c>
      <c r="I216" s="18">
        <v>54663.16</v>
      </c>
      <c r="J216" s="18">
        <v>18676.080000000002</v>
      </c>
      <c r="K216" s="18"/>
      <c r="L216" s="19">
        <f>SUM(F216:K216)</f>
        <v>3766318.0100000002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198176.98</v>
      </c>
      <c r="G218" s="18">
        <v>85722.29</v>
      </c>
      <c r="H218" s="18"/>
      <c r="I218" s="18">
        <v>17878.43</v>
      </c>
      <c r="J218" s="18"/>
      <c r="K218" s="18"/>
      <c r="L218" s="19">
        <f>SUM(F218:K218)</f>
        <v>301777.7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1132422.28</v>
      </c>
      <c r="G220" s="18">
        <v>489834.03</v>
      </c>
      <c r="H220" s="18">
        <v>46578.53</v>
      </c>
      <c r="I220" s="18">
        <v>6950.23</v>
      </c>
      <c r="J220" s="18"/>
      <c r="K220" s="18"/>
      <c r="L220" s="19">
        <f t="shared" ref="L220:L226" si="2">SUM(F220:K220)</f>
        <v>1675785.07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301644.49</v>
      </c>
      <c r="G221" s="18">
        <f>130477.6+27451.11</f>
        <v>157928.71000000002</v>
      </c>
      <c r="H221" s="18">
        <v>38038.17</v>
      </c>
      <c r="I221" s="18">
        <v>86954.21</v>
      </c>
      <c r="J221" s="18">
        <v>93069.99</v>
      </c>
      <c r="K221" s="18"/>
      <c r="L221" s="19">
        <f t="shared" si="2"/>
        <v>677635.57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24081.17</v>
      </c>
      <c r="G222" s="18">
        <v>10416.41</v>
      </c>
      <c r="H222" s="18">
        <v>583558.43000000005</v>
      </c>
      <c r="I222" s="18">
        <v>1625.98</v>
      </c>
      <c r="J222" s="18">
        <v>14.49</v>
      </c>
      <c r="K222" s="18"/>
      <c r="L222" s="19">
        <f t="shared" si="2"/>
        <v>619696.48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618418.23</v>
      </c>
      <c r="G223" s="18">
        <v>267499.40999999997</v>
      </c>
      <c r="H223" s="18">
        <v>63933.47</v>
      </c>
      <c r="I223" s="18">
        <v>10867.06</v>
      </c>
      <c r="J223" s="18">
        <v>5609.67</v>
      </c>
      <c r="K223" s="18">
        <v>6142.99</v>
      </c>
      <c r="L223" s="19">
        <f t="shared" si="2"/>
        <v>972470.83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691187.19999999995</v>
      </c>
      <c r="G225" s="18">
        <v>298975.94</v>
      </c>
      <c r="H225" s="18">
        <v>605959.89</v>
      </c>
      <c r="I225" s="18">
        <v>400288.42</v>
      </c>
      <c r="J225" s="18">
        <v>1050</v>
      </c>
      <c r="K225" s="18"/>
      <c r="L225" s="19">
        <f t="shared" si="2"/>
        <v>1997461.4499999997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23844.87</v>
      </c>
      <c r="G226" s="18">
        <v>10314.200000000001</v>
      </c>
      <c r="H226" s="18">
        <v>841240.31</v>
      </c>
      <c r="I226" s="18"/>
      <c r="J226" s="18"/>
      <c r="K226" s="18"/>
      <c r="L226" s="19">
        <f t="shared" si="2"/>
        <v>875399.38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11777342.039999999</v>
      </c>
      <c r="G229" s="41">
        <f>SUM(G215:G228)</f>
        <v>5126264.5700000012</v>
      </c>
      <c r="H229" s="41">
        <f>SUM(H215:H228)</f>
        <v>2714430.13</v>
      </c>
      <c r="I229" s="41">
        <f>SUM(I215:I228)</f>
        <v>708173.26</v>
      </c>
      <c r="J229" s="41">
        <f>SUM(J215:J228)</f>
        <v>118420.23000000001</v>
      </c>
      <c r="K229" s="41">
        <f t="shared" si="3"/>
        <v>6142.99</v>
      </c>
      <c r="L229" s="41">
        <f t="shared" si="3"/>
        <v>20450773.219999999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7379373.2599999998</v>
      </c>
      <c r="G233" s="18">
        <v>3191979.02</v>
      </c>
      <c r="H233" s="18">
        <v>135629.4</v>
      </c>
      <c r="I233" s="18">
        <v>180616.14</v>
      </c>
      <c r="J233" s="18"/>
      <c r="K233" s="18"/>
      <c r="L233" s="19">
        <f>SUM(F233:K233)</f>
        <v>10887597.82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1983600.09</v>
      </c>
      <c r="G234" s="18">
        <f>858014.58+13878.07</f>
        <v>871892.64999999991</v>
      </c>
      <c r="H234" s="18">
        <v>1345715.29</v>
      </c>
      <c r="I234" s="18">
        <v>55179.92</v>
      </c>
      <c r="J234" s="18">
        <v>18982.93</v>
      </c>
      <c r="K234" s="18"/>
      <c r="L234" s="19">
        <f>SUM(F234:K234)</f>
        <v>4275370.88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1663988.93</v>
      </c>
      <c r="G235" s="18">
        <f>719765.43+3577</f>
        <v>723342.43</v>
      </c>
      <c r="H235" s="18">
        <v>47367.98</v>
      </c>
      <c r="I235" s="18">
        <v>83584.2</v>
      </c>
      <c r="J235" s="18">
        <v>6987.88</v>
      </c>
      <c r="K235" s="18">
        <v>2514.2199999999998</v>
      </c>
      <c r="L235" s="19">
        <f>SUM(F235:K235)</f>
        <v>2527785.64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510555.3</v>
      </c>
      <c r="G236" s="18">
        <v>220842.85</v>
      </c>
      <c r="H236" s="18">
        <v>40326.370000000003</v>
      </c>
      <c r="I236" s="18">
        <v>58829.97</v>
      </c>
      <c r="J236" s="18">
        <v>2000</v>
      </c>
      <c r="K236" s="18">
        <v>9977.5</v>
      </c>
      <c r="L236" s="19">
        <f>SUM(F236:K236)</f>
        <v>842531.99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1585219.26</v>
      </c>
      <c r="G238" s="18">
        <v>685693.27</v>
      </c>
      <c r="H238" s="18">
        <v>130231.93</v>
      </c>
      <c r="I238" s="18">
        <v>14922.84</v>
      </c>
      <c r="J238" s="18"/>
      <c r="K238" s="18"/>
      <c r="L238" s="19">
        <f t="shared" ref="L238:L244" si="4">SUM(F238:K238)</f>
        <v>2416067.3000000003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746838.91</v>
      </c>
      <c r="G239" s="18">
        <f>323048.32+17063.25</f>
        <v>340111.57</v>
      </c>
      <c r="H239" s="18">
        <v>127651.59</v>
      </c>
      <c r="I239" s="18">
        <v>242442.13</v>
      </c>
      <c r="J239" s="18">
        <v>281742.56</v>
      </c>
      <c r="K239" s="18">
        <v>27000</v>
      </c>
      <c r="L239" s="19">
        <f t="shared" si="4"/>
        <v>1765786.7600000002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24081.16</v>
      </c>
      <c r="G240" s="18">
        <v>10416.41</v>
      </c>
      <c r="H240" s="18">
        <v>583558.43000000005</v>
      </c>
      <c r="I240" s="18">
        <v>1625.98</v>
      </c>
      <c r="J240" s="18">
        <v>14.5</v>
      </c>
      <c r="K240" s="18"/>
      <c r="L240" s="19">
        <f t="shared" si="4"/>
        <v>619696.48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748902.48</v>
      </c>
      <c r="G241" s="18">
        <v>323940.93</v>
      </c>
      <c r="H241" s="18">
        <v>86717.62</v>
      </c>
      <c r="I241" s="18">
        <v>47247.79</v>
      </c>
      <c r="J241" s="18"/>
      <c r="K241" s="18">
        <v>18391.37</v>
      </c>
      <c r="L241" s="19">
        <f t="shared" si="4"/>
        <v>1225200.19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1095444.26</v>
      </c>
      <c r="G243" s="18">
        <v>473839.03</v>
      </c>
      <c r="H243" s="18">
        <v>797023.58</v>
      </c>
      <c r="I243" s="18">
        <v>1187626.1499999999</v>
      </c>
      <c r="J243" s="18"/>
      <c r="K243" s="18">
        <v>11060.48</v>
      </c>
      <c r="L243" s="19">
        <f t="shared" si="4"/>
        <v>3564993.5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23844.880000000001</v>
      </c>
      <c r="G244" s="18">
        <v>10314.200000000001</v>
      </c>
      <c r="H244" s="18">
        <v>1206602.98</v>
      </c>
      <c r="I244" s="18"/>
      <c r="J244" s="18"/>
      <c r="K244" s="18"/>
      <c r="L244" s="19">
        <f t="shared" si="4"/>
        <v>1240762.06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15761848.530000001</v>
      </c>
      <c r="G247" s="41">
        <f t="shared" si="5"/>
        <v>6852372.3599999994</v>
      </c>
      <c r="H247" s="41">
        <f t="shared" si="5"/>
        <v>4500825.17</v>
      </c>
      <c r="I247" s="41">
        <f t="shared" si="5"/>
        <v>1872075.1199999999</v>
      </c>
      <c r="J247" s="41">
        <f t="shared" si="5"/>
        <v>309727.87</v>
      </c>
      <c r="K247" s="41">
        <f t="shared" si="5"/>
        <v>68943.569999999992</v>
      </c>
      <c r="L247" s="41">
        <f t="shared" si="5"/>
        <v>29365792.620000001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117013.97</v>
      </c>
      <c r="G251" s="18"/>
      <c r="H251" s="18"/>
      <c r="I251" s="18">
        <v>18869.52</v>
      </c>
      <c r="J251" s="18"/>
      <c r="K251" s="18"/>
      <c r="L251" s="19">
        <f t="shared" si="6"/>
        <v>135883.49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117013.97</v>
      </c>
      <c r="G256" s="41">
        <f t="shared" si="7"/>
        <v>0</v>
      </c>
      <c r="H256" s="41">
        <f t="shared" si="7"/>
        <v>0</v>
      </c>
      <c r="I256" s="41">
        <f t="shared" si="7"/>
        <v>18869.52</v>
      </c>
      <c r="J256" s="41">
        <f t="shared" si="7"/>
        <v>0</v>
      </c>
      <c r="K256" s="41">
        <f t="shared" si="7"/>
        <v>0</v>
      </c>
      <c r="L256" s="41">
        <f>SUM(F256:K256)</f>
        <v>135883.49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27656204.539999999</v>
      </c>
      <c r="G257" s="41">
        <f t="shared" si="8"/>
        <v>11978636.93</v>
      </c>
      <c r="H257" s="41">
        <f t="shared" si="8"/>
        <v>7215255.2999999998</v>
      </c>
      <c r="I257" s="41">
        <f t="shared" si="8"/>
        <v>2599117.9</v>
      </c>
      <c r="J257" s="41">
        <f t="shared" si="8"/>
        <v>428148.1</v>
      </c>
      <c r="K257" s="41">
        <f t="shared" si="8"/>
        <v>75086.559999999998</v>
      </c>
      <c r="L257" s="41">
        <f t="shared" si="8"/>
        <v>49952449.330000006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1720739.82</v>
      </c>
      <c r="L260" s="19">
        <f>SUM(F260:K260)</f>
        <v>1720739.82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1467213.18</v>
      </c>
      <c r="L261" s="19">
        <f>SUM(F261:K261)</f>
        <v>1467213.18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280000</v>
      </c>
      <c r="L268" s="19">
        <f t="shared" si="9"/>
        <v>280000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3517953</v>
      </c>
      <c r="L270" s="41">
        <f t="shared" si="9"/>
        <v>3517953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27656204.539999999</v>
      </c>
      <c r="G271" s="42">
        <f t="shared" si="11"/>
        <v>11978636.93</v>
      </c>
      <c r="H271" s="42">
        <f t="shared" si="11"/>
        <v>7215255.2999999998</v>
      </c>
      <c r="I271" s="42">
        <f t="shared" si="11"/>
        <v>2599117.9</v>
      </c>
      <c r="J271" s="42">
        <f t="shared" si="11"/>
        <v>428148.1</v>
      </c>
      <c r="K271" s="42">
        <f t="shared" si="11"/>
        <v>3593039.56</v>
      </c>
      <c r="L271" s="42">
        <f t="shared" si="11"/>
        <v>53470402.330000006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>
        <v>300574.62</v>
      </c>
      <c r="L300" s="19">
        <f t="shared" ref="L300:L306" si="14">SUM(F300:K300)</f>
        <v>300574.62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300574.62</v>
      </c>
      <c r="L309" s="41">
        <f t="shared" si="15"/>
        <v>300574.62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2700</v>
      </c>
      <c r="G316" s="18">
        <v>675.27</v>
      </c>
      <c r="H316" s="18"/>
      <c r="I316" s="18">
        <v>77690.77</v>
      </c>
      <c r="J316" s="18"/>
      <c r="K316" s="18"/>
      <c r="L316" s="19">
        <f>SUM(F316:K316)</f>
        <v>81066.040000000008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>
        <v>6485.39</v>
      </c>
      <c r="J319" s="18"/>
      <c r="K319" s="18">
        <v>517174.46</v>
      </c>
      <c r="L319" s="19">
        <f t="shared" ref="L319:L325" si="16">SUM(F319:K319)</f>
        <v>523659.85000000003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2700</v>
      </c>
      <c r="G328" s="42">
        <f t="shared" si="17"/>
        <v>675.27</v>
      </c>
      <c r="H328" s="42">
        <f t="shared" si="17"/>
        <v>0</v>
      </c>
      <c r="I328" s="42">
        <f t="shared" si="17"/>
        <v>84176.16</v>
      </c>
      <c r="J328" s="42">
        <f t="shared" si="17"/>
        <v>0</v>
      </c>
      <c r="K328" s="42">
        <f t="shared" si="17"/>
        <v>517174.46</v>
      </c>
      <c r="L328" s="41">
        <f t="shared" si="17"/>
        <v>604725.89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247167.86</v>
      </c>
      <c r="G333" s="18">
        <v>46356.79</v>
      </c>
      <c r="H333" s="18">
        <v>23095.31</v>
      </c>
      <c r="I333" s="18">
        <v>18461.080000000002</v>
      </c>
      <c r="J333" s="18">
        <v>4049.91</v>
      </c>
      <c r="K333" s="18">
        <v>5945.15</v>
      </c>
      <c r="L333" s="19">
        <f t="shared" si="18"/>
        <v>345076.1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>
        <v>650</v>
      </c>
      <c r="I334" s="18">
        <v>5102.24</v>
      </c>
      <c r="J334" s="18"/>
      <c r="K334" s="18"/>
      <c r="L334" s="19">
        <f t="shared" si="18"/>
        <v>5752.24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247167.86</v>
      </c>
      <c r="G337" s="41">
        <f t="shared" si="19"/>
        <v>46356.79</v>
      </c>
      <c r="H337" s="41">
        <f t="shared" si="19"/>
        <v>23745.31</v>
      </c>
      <c r="I337" s="41">
        <f t="shared" si="19"/>
        <v>23563.32</v>
      </c>
      <c r="J337" s="41">
        <f t="shared" si="19"/>
        <v>4049.91</v>
      </c>
      <c r="K337" s="41">
        <f t="shared" si="19"/>
        <v>5945.15</v>
      </c>
      <c r="L337" s="41">
        <f t="shared" si="18"/>
        <v>350828.33999999997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249867.86</v>
      </c>
      <c r="G338" s="41">
        <f t="shared" si="20"/>
        <v>47032.06</v>
      </c>
      <c r="H338" s="41">
        <f t="shared" si="20"/>
        <v>23745.31</v>
      </c>
      <c r="I338" s="41">
        <f t="shared" si="20"/>
        <v>107739.48000000001</v>
      </c>
      <c r="J338" s="41">
        <f t="shared" si="20"/>
        <v>4049.91</v>
      </c>
      <c r="K338" s="41">
        <f t="shared" si="20"/>
        <v>823694.2300000001</v>
      </c>
      <c r="L338" s="41">
        <f t="shared" si="20"/>
        <v>1256128.8500000001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249867.86</v>
      </c>
      <c r="G352" s="41">
        <f>G338</f>
        <v>47032.06</v>
      </c>
      <c r="H352" s="41">
        <f>H338</f>
        <v>23745.31</v>
      </c>
      <c r="I352" s="41">
        <f>I338</f>
        <v>107739.48000000001</v>
      </c>
      <c r="J352" s="41">
        <f>J338</f>
        <v>4049.91</v>
      </c>
      <c r="K352" s="47">
        <f>K338+K351</f>
        <v>823694.2300000001</v>
      </c>
      <c r="L352" s="41">
        <f>L338+L351</f>
        <v>1256128.8500000001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125192.85</v>
      </c>
      <c r="G359" s="18">
        <v>27600.639999999999</v>
      </c>
      <c r="H359" s="18">
        <v>5429.4</v>
      </c>
      <c r="I359" s="18">
        <v>190940.95</v>
      </c>
      <c r="J359" s="18">
        <v>7800.46</v>
      </c>
      <c r="K359" s="18">
        <v>1473.85</v>
      </c>
      <c r="L359" s="19">
        <f>SUM(F359:K359)</f>
        <v>358438.14999999997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231857.92000000001</v>
      </c>
      <c r="G360" s="18">
        <v>47317.69</v>
      </c>
      <c r="H360" s="18">
        <v>13508.36</v>
      </c>
      <c r="I360" s="18">
        <v>308667.51</v>
      </c>
      <c r="J360" s="18">
        <v>82214.850000000006</v>
      </c>
      <c r="K360" s="18">
        <v>1768.36</v>
      </c>
      <c r="L360" s="19">
        <f>SUM(F360:K360)</f>
        <v>685334.69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 t="s">
        <v>284</v>
      </c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357050.77</v>
      </c>
      <c r="G362" s="47">
        <f t="shared" si="22"/>
        <v>74918.33</v>
      </c>
      <c r="H362" s="47">
        <f t="shared" si="22"/>
        <v>18937.760000000002</v>
      </c>
      <c r="I362" s="47">
        <f t="shared" si="22"/>
        <v>499608.46</v>
      </c>
      <c r="J362" s="47">
        <f t="shared" si="22"/>
        <v>90015.310000000012</v>
      </c>
      <c r="K362" s="47">
        <f t="shared" si="22"/>
        <v>3242.21</v>
      </c>
      <c r="L362" s="47">
        <f t="shared" si="22"/>
        <v>1043772.8399999999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>
        <v>180859.16</v>
      </c>
      <c r="H367" s="18">
        <v>283844.11</v>
      </c>
      <c r="I367" s="56">
        <f>SUM(F367:H367)</f>
        <v>464703.27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>
        <v>10081.790000000001</v>
      </c>
      <c r="H368" s="63">
        <v>24823.4</v>
      </c>
      <c r="I368" s="56">
        <f>SUM(F368:H368)</f>
        <v>34905.19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190940.95</v>
      </c>
      <c r="H369" s="47">
        <f>SUM(H367:H368)</f>
        <v>308667.51</v>
      </c>
      <c r="I369" s="47">
        <f>SUM(I367:I368)</f>
        <v>499608.46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>
        <v>4014.37</v>
      </c>
      <c r="I388" s="18"/>
      <c r="J388" s="24" t="s">
        <v>286</v>
      </c>
      <c r="K388" s="24" t="s">
        <v>286</v>
      </c>
      <c r="L388" s="56">
        <f t="shared" si="25"/>
        <v>4014.37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>
        <v>50000</v>
      </c>
      <c r="H391" s="18">
        <v>1131.83</v>
      </c>
      <c r="I391" s="18"/>
      <c r="J391" s="24" t="s">
        <v>286</v>
      </c>
      <c r="K391" s="24" t="s">
        <v>286</v>
      </c>
      <c r="L391" s="56">
        <f t="shared" si="25"/>
        <v>51131.83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v>350.41</v>
      </c>
      <c r="I392" s="18"/>
      <c r="J392" s="24" t="s">
        <v>286</v>
      </c>
      <c r="K392" s="24" t="s">
        <v>286</v>
      </c>
      <c r="L392" s="56">
        <f t="shared" si="25"/>
        <v>350.41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5496.61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55496.610000000008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5126.87</v>
      </c>
      <c r="I396" s="18"/>
      <c r="J396" s="24" t="s">
        <v>286</v>
      </c>
      <c r="K396" s="24" t="s">
        <v>286</v>
      </c>
      <c r="L396" s="56">
        <f t="shared" si="26"/>
        <v>5126.87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5164.57</v>
      </c>
      <c r="I397" s="18"/>
      <c r="J397" s="24" t="s">
        <v>286</v>
      </c>
      <c r="K397" s="24" t="s">
        <v>286</v>
      </c>
      <c r="L397" s="56">
        <f t="shared" si="26"/>
        <v>5164.57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10291.439999999999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10291.439999999999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15788.05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65788.05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405322.56</v>
      </c>
      <c r="G439" s="18">
        <v>1226304.3600000001</v>
      </c>
      <c r="H439" s="18"/>
      <c r="I439" s="56">
        <f t="shared" ref="I439:I445" si="33">SUM(F439:H439)</f>
        <v>1631626.9200000002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405322.56</v>
      </c>
      <c r="G446" s="13">
        <f>SUM(G439:G445)</f>
        <v>1226304.3600000001</v>
      </c>
      <c r="H446" s="13">
        <f>SUM(H439:H445)</f>
        <v>0</v>
      </c>
      <c r="I446" s="13">
        <f>SUM(I439:I445)</f>
        <v>1631626.9200000002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405322.56</v>
      </c>
      <c r="G459" s="18">
        <v>1226304.3600000001</v>
      </c>
      <c r="H459" s="18"/>
      <c r="I459" s="56">
        <f t="shared" si="34"/>
        <v>1631626.9200000002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405322.56</v>
      </c>
      <c r="G460" s="83">
        <f>SUM(G454:G459)</f>
        <v>1226304.3600000001</v>
      </c>
      <c r="H460" s="83">
        <f>SUM(H454:H459)</f>
        <v>0</v>
      </c>
      <c r="I460" s="83">
        <f>SUM(I454:I459)</f>
        <v>1631626.9200000002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405322.56</v>
      </c>
      <c r="G461" s="42">
        <f>G452+G460</f>
        <v>1226304.3600000001</v>
      </c>
      <c r="H461" s="42">
        <f>H452+H460</f>
        <v>0</v>
      </c>
      <c r="I461" s="42">
        <f>I452+I460</f>
        <v>1631626.9200000002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4002077.56</v>
      </c>
      <c r="G465" s="18">
        <v>317572.90999999997</v>
      </c>
      <c r="H465" s="18">
        <v>492979.63</v>
      </c>
      <c r="I465" s="18"/>
      <c r="J465" s="18">
        <v>1565838.87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52857837.060000002</v>
      </c>
      <c r="G468" s="18">
        <v>1080567.1000000001</v>
      </c>
      <c r="H468" s="18">
        <v>1281021.32</v>
      </c>
      <c r="I468" s="18"/>
      <c r="J468" s="18">
        <v>65788.05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52857837.060000002</v>
      </c>
      <c r="G470" s="53">
        <f>SUM(G468:G469)</f>
        <v>1080567.1000000001</v>
      </c>
      <c r="H470" s="53">
        <f>SUM(H468:H469)</f>
        <v>1281021.32</v>
      </c>
      <c r="I470" s="53">
        <f>SUM(I468:I469)</f>
        <v>0</v>
      </c>
      <c r="J470" s="53">
        <f>SUM(J468:J469)</f>
        <v>65788.05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53470402.329999998</v>
      </c>
      <c r="G472" s="18">
        <v>1043772.84</v>
      </c>
      <c r="H472" s="18">
        <v>1256128.8500000001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53470402.329999998</v>
      </c>
      <c r="G474" s="53">
        <f>SUM(G472:G473)</f>
        <v>1043772.84</v>
      </c>
      <c r="H474" s="53">
        <f>SUM(H472:H473)</f>
        <v>1256128.8500000001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3389512.2900000066</v>
      </c>
      <c r="G476" s="53">
        <f>(G465+G470)- G474</f>
        <v>354367.17000000004</v>
      </c>
      <c r="H476" s="53">
        <f>(H465+H470)- H474</f>
        <v>517872.10000000009</v>
      </c>
      <c r="I476" s="53">
        <f>(I465+I470)- I474</f>
        <v>0</v>
      </c>
      <c r="J476" s="53">
        <f>(J465+J470)- J474</f>
        <v>1631626.9200000002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42695000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3.7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10561826.24</v>
      </c>
      <c r="G495" s="18"/>
      <c r="H495" s="18"/>
      <c r="I495" s="18"/>
      <c r="J495" s="18"/>
      <c r="K495" s="53">
        <f>SUM(F495:J495)</f>
        <v>10561826.24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1720739.82</v>
      </c>
      <c r="G497" s="18"/>
      <c r="H497" s="18"/>
      <c r="I497" s="18"/>
      <c r="J497" s="18"/>
      <c r="K497" s="53">
        <f t="shared" si="35"/>
        <v>1720739.82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8841086.4199999999</v>
      </c>
      <c r="G498" s="204"/>
      <c r="H498" s="204"/>
      <c r="I498" s="204"/>
      <c r="J498" s="204"/>
      <c r="K498" s="205">
        <f t="shared" si="35"/>
        <v>8841086.4199999999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10196348.58</v>
      </c>
      <c r="G499" s="18"/>
      <c r="H499" s="18"/>
      <c r="I499" s="18"/>
      <c r="J499" s="18"/>
      <c r="K499" s="53">
        <f t="shared" si="35"/>
        <v>10196348.58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19037435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19037435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1647785.06</v>
      </c>
      <c r="G501" s="204"/>
      <c r="H501" s="204"/>
      <c r="I501" s="204"/>
      <c r="J501" s="204"/>
      <c r="K501" s="205">
        <f t="shared" si="35"/>
        <v>1647785.06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1524258.19</v>
      </c>
      <c r="G502" s="18"/>
      <c r="H502" s="18"/>
      <c r="I502" s="18"/>
      <c r="J502" s="18"/>
      <c r="K502" s="53">
        <f t="shared" si="35"/>
        <v>1524258.19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3172043.25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3172043.25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1959258.84</v>
      </c>
      <c r="G522" s="18">
        <v>842481.3</v>
      </c>
      <c r="H522" s="18">
        <v>535121.32999999996</v>
      </c>
      <c r="I522" s="18">
        <v>54663.16</v>
      </c>
      <c r="J522" s="18">
        <v>18678.080000000002</v>
      </c>
      <c r="K522" s="18"/>
      <c r="L522" s="88">
        <f>SUM(F522:K522)</f>
        <v>3410202.7100000004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1819787.58</v>
      </c>
      <c r="G523" s="18">
        <v>782508.66</v>
      </c>
      <c r="H523" s="18">
        <v>1345715.92</v>
      </c>
      <c r="I523" s="18">
        <v>55179.92</v>
      </c>
      <c r="J523" s="18">
        <v>18982.93</v>
      </c>
      <c r="K523" s="18"/>
      <c r="L523" s="88">
        <f>SUM(F523:K523)</f>
        <v>4022175.0100000002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3779046.42</v>
      </c>
      <c r="G524" s="108">
        <f t="shared" ref="G524:L524" si="36">SUM(G521:G523)</f>
        <v>1624989.96</v>
      </c>
      <c r="H524" s="108">
        <f t="shared" si="36"/>
        <v>1880837.25</v>
      </c>
      <c r="I524" s="108">
        <f t="shared" si="36"/>
        <v>109843.08</v>
      </c>
      <c r="J524" s="108">
        <f t="shared" si="36"/>
        <v>37661.01</v>
      </c>
      <c r="K524" s="108">
        <f t="shared" si="36"/>
        <v>0</v>
      </c>
      <c r="L524" s="89">
        <f t="shared" si="36"/>
        <v>7432377.7200000007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1132422.28</v>
      </c>
      <c r="G527" s="18">
        <v>489834.03</v>
      </c>
      <c r="H527" s="18">
        <v>46578.53</v>
      </c>
      <c r="I527" s="18">
        <v>6950.23</v>
      </c>
      <c r="J527" s="18"/>
      <c r="K527" s="18"/>
      <c r="L527" s="88">
        <f>SUM(F527:K527)</f>
        <v>1675785.07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1585219.26</v>
      </c>
      <c r="G528" s="18">
        <v>685693.27</v>
      </c>
      <c r="H528" s="18">
        <v>130231.93</v>
      </c>
      <c r="I528" s="18">
        <v>14922.84</v>
      </c>
      <c r="J528" s="18"/>
      <c r="K528" s="18"/>
      <c r="L528" s="88">
        <f>SUM(F528:K528)</f>
        <v>2416067.3000000003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2717641.54</v>
      </c>
      <c r="G529" s="89">
        <f t="shared" ref="G529:L529" si="37">SUM(G526:G528)</f>
        <v>1175527.3</v>
      </c>
      <c r="H529" s="89">
        <f t="shared" si="37"/>
        <v>176810.46</v>
      </c>
      <c r="I529" s="89">
        <f t="shared" si="37"/>
        <v>21873.07</v>
      </c>
      <c r="J529" s="89">
        <f t="shared" si="37"/>
        <v>0</v>
      </c>
      <c r="K529" s="89">
        <f t="shared" si="37"/>
        <v>0</v>
      </c>
      <c r="L529" s="89">
        <f t="shared" si="37"/>
        <v>4091852.37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241972.29</v>
      </c>
      <c r="G532" s="18">
        <v>104048.08</v>
      </c>
      <c r="H532" s="18"/>
      <c r="I532" s="18"/>
      <c r="J532" s="18"/>
      <c r="K532" s="18"/>
      <c r="L532" s="88">
        <f>SUM(F532:K532)</f>
        <v>346020.37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163812.51</v>
      </c>
      <c r="G533" s="18">
        <v>70439.38</v>
      </c>
      <c r="H533" s="18"/>
      <c r="I533" s="18"/>
      <c r="J533" s="18"/>
      <c r="K533" s="18"/>
      <c r="L533" s="88">
        <f>SUM(F533:K533)</f>
        <v>234251.89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405784.80000000005</v>
      </c>
      <c r="G534" s="89">
        <f t="shared" ref="G534:L534" si="38">SUM(G531:G533)</f>
        <v>174487.46000000002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580272.26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9444.83</v>
      </c>
      <c r="I537" s="18"/>
      <c r="J537" s="18"/>
      <c r="K537" s="18"/>
      <c r="L537" s="88">
        <f>SUM(F537:K537)</f>
        <v>9444.83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2695</v>
      </c>
      <c r="I538" s="18"/>
      <c r="J538" s="18"/>
      <c r="K538" s="18"/>
      <c r="L538" s="88">
        <f>SUM(F538:K538)</f>
        <v>2695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12139.83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12139.83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177374.17</v>
      </c>
      <c r="I542" s="18"/>
      <c r="J542" s="18"/>
      <c r="K542" s="18"/>
      <c r="L542" s="88">
        <f>SUM(F542:K542)</f>
        <v>177374.17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394115.71</v>
      </c>
      <c r="I543" s="18"/>
      <c r="J543" s="18"/>
      <c r="K543" s="18"/>
      <c r="L543" s="88">
        <f>SUM(F543:K543)</f>
        <v>394115.71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571489.88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571489.88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6902472.7599999998</v>
      </c>
      <c r="G545" s="89">
        <f t="shared" ref="G545:L545" si="41">G524+G529+G534+G539+G544</f>
        <v>2975004.7199999997</v>
      </c>
      <c r="H545" s="89">
        <f t="shared" si="41"/>
        <v>2641277.42</v>
      </c>
      <c r="I545" s="89">
        <f t="shared" si="41"/>
        <v>131716.15</v>
      </c>
      <c r="J545" s="89">
        <f t="shared" si="41"/>
        <v>37661.01</v>
      </c>
      <c r="K545" s="89">
        <f t="shared" si="41"/>
        <v>0</v>
      </c>
      <c r="L545" s="89">
        <f t="shared" si="41"/>
        <v>12688132.060000001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3410202.7100000004</v>
      </c>
      <c r="G550" s="87">
        <f>L527</f>
        <v>1675785.07</v>
      </c>
      <c r="H550" s="87">
        <f>L532</f>
        <v>346020.37</v>
      </c>
      <c r="I550" s="87">
        <f>L537</f>
        <v>9444.83</v>
      </c>
      <c r="J550" s="87">
        <f>L542</f>
        <v>177374.17</v>
      </c>
      <c r="K550" s="87">
        <f>SUM(F550:J550)</f>
        <v>5618827.1500000004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4022175.0100000002</v>
      </c>
      <c r="G551" s="87">
        <f>L528</f>
        <v>2416067.3000000003</v>
      </c>
      <c r="H551" s="87">
        <f>L533</f>
        <v>234251.89</v>
      </c>
      <c r="I551" s="87">
        <f>L538</f>
        <v>2695</v>
      </c>
      <c r="J551" s="87">
        <f>L543</f>
        <v>394115.71</v>
      </c>
      <c r="K551" s="87">
        <f>SUM(F551:J551)</f>
        <v>7069304.9100000001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7432377.7200000007</v>
      </c>
      <c r="G552" s="89">
        <f t="shared" si="42"/>
        <v>4091852.37</v>
      </c>
      <c r="H552" s="89">
        <f t="shared" si="42"/>
        <v>580272.26</v>
      </c>
      <c r="I552" s="89">
        <f t="shared" si="42"/>
        <v>12139.83</v>
      </c>
      <c r="J552" s="89">
        <f t="shared" si="42"/>
        <v>571489.88</v>
      </c>
      <c r="K552" s="89">
        <f t="shared" si="42"/>
        <v>12688132.060000001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46354.16</v>
      </c>
      <c r="G563" s="18">
        <v>19932.29</v>
      </c>
      <c r="H563" s="18"/>
      <c r="I563" s="18"/>
      <c r="J563" s="18"/>
      <c r="K563" s="18"/>
      <c r="L563" s="88">
        <f>SUM(F563:K563)</f>
        <v>66286.450000000012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16511.04</v>
      </c>
      <c r="G564" s="18">
        <v>7099.75</v>
      </c>
      <c r="H564" s="18"/>
      <c r="I564" s="18"/>
      <c r="J564" s="18"/>
      <c r="K564" s="18"/>
      <c r="L564" s="88">
        <f>SUM(F564:K564)</f>
        <v>23610.79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62865.200000000004</v>
      </c>
      <c r="G565" s="89">
        <f t="shared" si="44"/>
        <v>27032.04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89897.24000000002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62865.200000000004</v>
      </c>
      <c r="G571" s="89">
        <f t="shared" ref="G571:L571" si="46">G560+G565+G570</f>
        <v>27032.04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89897.24000000002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>
        <v>369423.18</v>
      </c>
      <c r="H582" s="18">
        <v>1140424.31</v>
      </c>
      <c r="I582" s="87">
        <f t="shared" si="47"/>
        <v>1509847.49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/>
      <c r="I591" s="18">
        <v>680756.67</v>
      </c>
      <c r="J591" s="18">
        <v>680756.67</v>
      </c>
      <c r="K591" s="104">
        <f t="shared" ref="K591:K597" si="48">SUM(H591:J591)</f>
        <v>1361513.34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>
        <v>177374.17</v>
      </c>
      <c r="J592" s="18">
        <v>394115.71</v>
      </c>
      <c r="K592" s="104">
        <f t="shared" si="48"/>
        <v>571489.88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17268.54</v>
      </c>
      <c r="J594" s="18">
        <v>121405.52</v>
      </c>
      <c r="K594" s="104">
        <f t="shared" si="48"/>
        <v>138674.06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>
        <v>44484.160000000003</v>
      </c>
      <c r="K597" s="104">
        <f t="shared" si="48"/>
        <v>44484.160000000003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875399.38000000012</v>
      </c>
      <c r="J598" s="108">
        <f>SUM(J591:J597)</f>
        <v>1240762.06</v>
      </c>
      <c r="K598" s="108">
        <f>SUM(K591:K597)</f>
        <v>2116161.4400000004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>
        <v>118420.23</v>
      </c>
      <c r="J604" s="18">
        <v>313777.78000000003</v>
      </c>
      <c r="K604" s="104">
        <f>SUM(H604:J604)</f>
        <v>432198.01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118420.23</v>
      </c>
      <c r="J605" s="108">
        <f>SUM(J602:J604)</f>
        <v>313777.78000000003</v>
      </c>
      <c r="K605" s="108">
        <f>SUM(K602:K604)</f>
        <v>432198.01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37609.620000000003</v>
      </c>
      <c r="G612" s="18"/>
      <c r="H612" s="18"/>
      <c r="I612" s="18"/>
      <c r="J612" s="18"/>
      <c r="K612" s="18"/>
      <c r="L612" s="88">
        <f>SUM(F612:K612)</f>
        <v>37609.620000000003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60678.99</v>
      </c>
      <c r="G613" s="18"/>
      <c r="H613" s="18"/>
      <c r="I613" s="18"/>
      <c r="J613" s="18"/>
      <c r="K613" s="18"/>
      <c r="L613" s="88">
        <f>SUM(F613:K613)</f>
        <v>60678.99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98288.61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98288.61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5356983.5900000008</v>
      </c>
      <c r="H617" s="109">
        <f>SUM(F52)</f>
        <v>5356983.59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401154.31</v>
      </c>
      <c r="H618" s="109">
        <f>SUM(G52)</f>
        <v>401154.31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570975.27</v>
      </c>
      <c r="H619" s="109">
        <f>SUM(H52)</f>
        <v>570975.27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1631626.9200000002</v>
      </c>
      <c r="H621" s="109">
        <f>SUM(J52)</f>
        <v>1631626.9200000002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3389512.29</v>
      </c>
      <c r="H622" s="109">
        <f>F476</f>
        <v>3389512.2900000066</v>
      </c>
      <c r="I622" s="121" t="s">
        <v>101</v>
      </c>
      <c r="J622" s="109">
        <f t="shared" ref="J622:J655" si="50">G622-H622</f>
        <v>-6.5192580223083496E-9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354367.17</v>
      </c>
      <c r="H623" s="109">
        <f>G476</f>
        <v>354367.17000000004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517872.1</v>
      </c>
      <c r="H624" s="109">
        <f>H476</f>
        <v>517872.10000000009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1631626.9200000002</v>
      </c>
      <c r="H626" s="109">
        <f>J476</f>
        <v>1631626.9200000002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52857837.060000002</v>
      </c>
      <c r="H627" s="104">
        <f>SUM(F468)</f>
        <v>52857837.060000002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1080567.1000000001</v>
      </c>
      <c r="H628" s="104">
        <f>SUM(G468)</f>
        <v>1080567.1000000001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1281021.3199999998</v>
      </c>
      <c r="H629" s="104">
        <f>SUM(H468)</f>
        <v>1281021.32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65788.05</v>
      </c>
      <c r="H631" s="104">
        <f>SUM(J468)</f>
        <v>65788.05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53470402.330000006</v>
      </c>
      <c r="H632" s="104">
        <f>SUM(F472)</f>
        <v>53470402.329999998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1256128.8500000001</v>
      </c>
      <c r="H633" s="104">
        <f>SUM(H472)</f>
        <v>1256128.8500000001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499608.46</v>
      </c>
      <c r="H634" s="104">
        <f>I369</f>
        <v>499608.46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1043772.8399999999</v>
      </c>
      <c r="H635" s="104">
        <f>SUM(G472)</f>
        <v>1043772.84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65788.05</v>
      </c>
      <c r="H637" s="164">
        <f>SUM(J468)</f>
        <v>65788.05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405322.56</v>
      </c>
      <c r="H639" s="104">
        <f>SUM(F461)</f>
        <v>405322.56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1226304.3600000001</v>
      </c>
      <c r="H640" s="104">
        <f>SUM(G461)</f>
        <v>1226304.3600000001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1631626.9200000002</v>
      </c>
      <c r="H642" s="104">
        <f>SUM(I461)</f>
        <v>1631626.9200000002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15788.05</v>
      </c>
      <c r="H644" s="104">
        <f>H408</f>
        <v>15788.05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65788.05</v>
      </c>
      <c r="H646" s="104">
        <f>L408</f>
        <v>65788.05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2116161.4400000004</v>
      </c>
      <c r="H647" s="104">
        <f>L208+L226+L244</f>
        <v>2116161.44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432198.01</v>
      </c>
      <c r="H648" s="104">
        <f>(J257+J338)-(J255+J336)</f>
        <v>432198.00999999995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0</v>
      </c>
      <c r="H649" s="104">
        <f>H598</f>
        <v>0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875399.38</v>
      </c>
      <c r="H650" s="104">
        <f>I598</f>
        <v>875399.38000000012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1240762.06</v>
      </c>
      <c r="H651" s="104">
        <f>J598</f>
        <v>1240762.06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0</v>
      </c>
      <c r="G660" s="19">
        <f>(L229+L309+L359)</f>
        <v>21109785.989999998</v>
      </c>
      <c r="H660" s="19">
        <f>(L247+L328+L360)</f>
        <v>30655853.200000003</v>
      </c>
      <c r="I660" s="19">
        <f>SUM(F660:H660)</f>
        <v>51765639.189999998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290357.91301757912</v>
      </c>
      <c r="H661" s="19">
        <f>(L360/IF(SUM(L358:L360)=0,1,SUM(L358:L360))*(SUM(G97:G110)))</f>
        <v>555165.09698242089</v>
      </c>
      <c r="I661" s="19">
        <f>SUM(F661:H661)</f>
        <v>845523.01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0</v>
      </c>
      <c r="G662" s="19">
        <f>(L226+L306)-(J226+J306)</f>
        <v>875399.38</v>
      </c>
      <c r="H662" s="19">
        <f>(L244+L325)-(J244+J325)</f>
        <v>1240762.06</v>
      </c>
      <c r="I662" s="19">
        <f>SUM(F662:H662)</f>
        <v>2116161.44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525453.03</v>
      </c>
      <c r="H663" s="199">
        <f>SUM(H575:H587)+SUM(J602:J604)+L613</f>
        <v>1514881.08</v>
      </c>
      <c r="I663" s="19">
        <f>SUM(F663:H663)</f>
        <v>2040334.11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0</v>
      </c>
      <c r="G664" s="19">
        <f>G660-SUM(G661:G663)</f>
        <v>19418575.66698242</v>
      </c>
      <c r="H664" s="19">
        <f>H660-SUM(H661:H663)</f>
        <v>27345044.963017583</v>
      </c>
      <c r="I664" s="19">
        <f>I660-SUM(I661:I663)</f>
        <v>46763620.629999995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>
        <v>1260.52</v>
      </c>
      <c r="H665" s="248">
        <v>1676.23</v>
      </c>
      <c r="I665" s="19">
        <f>SUM(F665:H665)</f>
        <v>2936.75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>
        <f>ROUND(G664/G665,2)</f>
        <v>15405.21</v>
      </c>
      <c r="H667" s="19">
        <f>ROUND(H664/H665,2)</f>
        <v>16313.42</v>
      </c>
      <c r="I667" s="19">
        <f>ROUND(I664/I665,2)</f>
        <v>15923.6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117.73</v>
      </c>
      <c r="I670" s="19">
        <f>SUM(F670:H670)</f>
        <v>117.73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>
        <f>ROUND((G664+G669)/(G665+G670),2)</f>
        <v>15405.21</v>
      </c>
      <c r="H672" s="19">
        <f>ROUND((H664+H669)/(H665+H670),2)</f>
        <v>15242.84</v>
      </c>
      <c r="I672" s="19">
        <f>ROUND((I664+I669)/(I665+I670),2)</f>
        <v>15309.85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EXETER REGION COOPERATIVE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13965708.949999999</v>
      </c>
      <c r="C9" s="229">
        <f>'DOE25'!G197+'DOE25'!G215+'DOE25'!G233+'DOE25'!G276+'DOE25'!G295+'DOE25'!G314</f>
        <v>6040926.29</v>
      </c>
    </row>
    <row r="10" spans="1:3" x14ac:dyDescent="0.2">
      <c r="A10" t="s">
        <v>773</v>
      </c>
      <c r="B10" s="240">
        <v>13595517.210000001</v>
      </c>
      <c r="C10" s="240">
        <v>5880798.29</v>
      </c>
    </row>
    <row r="11" spans="1:3" x14ac:dyDescent="0.2">
      <c r="A11" t="s">
        <v>774</v>
      </c>
      <c r="B11" s="240">
        <v>186863.73</v>
      </c>
      <c r="C11" s="240">
        <v>80828.69</v>
      </c>
    </row>
    <row r="12" spans="1:3" x14ac:dyDescent="0.2">
      <c r="A12" t="s">
        <v>775</v>
      </c>
      <c r="B12" s="240">
        <v>183328.01</v>
      </c>
      <c r="C12" s="240">
        <v>79299.31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13965708.950000001</v>
      </c>
      <c r="C13" s="231">
        <f>SUM(C10:C12)</f>
        <v>6040926.29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4184831.2199999997</v>
      </c>
      <c r="C18" s="229">
        <f>'DOE25'!G198+'DOE25'!G216+'DOE25'!G234+'DOE25'!G277+'DOE25'!G296+'DOE25'!G315</f>
        <v>1828518.96</v>
      </c>
    </row>
    <row r="19" spans="1:3" x14ac:dyDescent="0.2">
      <c r="A19" t="s">
        <v>773</v>
      </c>
      <c r="B19" s="240">
        <v>2162247.2400000002</v>
      </c>
      <c r="C19" s="240">
        <v>944771.69</v>
      </c>
    </row>
    <row r="20" spans="1:3" x14ac:dyDescent="0.2">
      <c r="A20" t="s">
        <v>774</v>
      </c>
      <c r="B20" s="240">
        <v>1583866.63</v>
      </c>
      <c r="C20" s="240">
        <v>692054.23</v>
      </c>
    </row>
    <row r="21" spans="1:3" x14ac:dyDescent="0.2">
      <c r="A21" t="s">
        <v>775</v>
      </c>
      <c r="B21" s="240">
        <v>438717.35</v>
      </c>
      <c r="C21" s="240">
        <v>191693.04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4184831.22</v>
      </c>
      <c r="C22" s="231">
        <f>SUM(C19:C21)</f>
        <v>1828518.96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1666688.93</v>
      </c>
      <c r="C27" s="234">
        <f>'DOE25'!G199+'DOE25'!G217+'DOE25'!G235+'DOE25'!G278+'DOE25'!G297+'DOE25'!G316</f>
        <v>724017.70000000007</v>
      </c>
    </row>
    <row r="28" spans="1:3" x14ac:dyDescent="0.2">
      <c r="A28" t="s">
        <v>773</v>
      </c>
      <c r="B28" s="240">
        <v>1228067.1599999999</v>
      </c>
      <c r="C28" s="240">
        <v>533478.28</v>
      </c>
    </row>
    <row r="29" spans="1:3" x14ac:dyDescent="0.2">
      <c r="A29" t="s">
        <v>774</v>
      </c>
      <c r="B29" s="240">
        <v>116515.57</v>
      </c>
      <c r="C29" s="240">
        <v>50614.93</v>
      </c>
    </row>
    <row r="30" spans="1:3" x14ac:dyDescent="0.2">
      <c r="A30" t="s">
        <v>775</v>
      </c>
      <c r="B30" s="240">
        <v>322106.2</v>
      </c>
      <c r="C30" s="240">
        <v>139924.49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1666688.93</v>
      </c>
      <c r="C31" s="231">
        <f>SUM(C28:C30)</f>
        <v>724017.70000000007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708732.28</v>
      </c>
      <c r="C36" s="235">
        <f>'DOE25'!G200+'DOE25'!G218+'DOE25'!G236+'DOE25'!G279+'DOE25'!G298+'DOE25'!G317</f>
        <v>306565.14</v>
      </c>
    </row>
    <row r="37" spans="1:3" x14ac:dyDescent="0.2">
      <c r="A37" t="s">
        <v>773</v>
      </c>
      <c r="B37" s="240">
        <v>708732.28</v>
      </c>
      <c r="C37" s="240">
        <v>306565.14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708732.28</v>
      </c>
      <c r="C40" s="231">
        <f>SUM(C37:C39)</f>
        <v>306565.14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EXETER REGION COOPERATIVE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32165610.769999996</v>
      </c>
      <c r="D5" s="20">
        <f>SUM('DOE25'!L197:L200)+SUM('DOE25'!L215:L218)+SUM('DOE25'!L233:L236)-F5-G5</f>
        <v>32106472.159999996</v>
      </c>
      <c r="E5" s="243"/>
      <c r="F5" s="255">
        <f>SUM('DOE25'!J197:J200)+SUM('DOE25'!J215:J218)+SUM('DOE25'!J233:J236)</f>
        <v>46646.89</v>
      </c>
      <c r="G5" s="53">
        <f>SUM('DOE25'!K197:K200)+SUM('DOE25'!K215:K218)+SUM('DOE25'!K233:K236)</f>
        <v>12491.72</v>
      </c>
      <c r="H5" s="259"/>
    </row>
    <row r="6" spans="1:9" x14ac:dyDescent="0.2">
      <c r="A6" s="32">
        <v>2100</v>
      </c>
      <c r="B6" t="s">
        <v>795</v>
      </c>
      <c r="C6" s="245">
        <f t="shared" si="0"/>
        <v>4091852.37</v>
      </c>
      <c r="D6" s="20">
        <f>'DOE25'!L202+'DOE25'!L220+'DOE25'!L238-F6-G6</f>
        <v>4091852.37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2443422.33</v>
      </c>
      <c r="D7" s="20">
        <f>'DOE25'!L203+'DOE25'!L221+'DOE25'!L239-F7-G7</f>
        <v>2041609.78</v>
      </c>
      <c r="E7" s="243"/>
      <c r="F7" s="255">
        <f>'DOE25'!J203+'DOE25'!J221+'DOE25'!J239</f>
        <v>374812.55</v>
      </c>
      <c r="G7" s="53">
        <f>'DOE25'!K203+'DOE25'!K221+'DOE25'!K239</f>
        <v>27000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1075765.67</v>
      </c>
      <c r="D8" s="243"/>
      <c r="E8" s="20">
        <f>'DOE25'!L204+'DOE25'!L222+'DOE25'!L240-F8-G8-D9-D11</f>
        <v>1075736.68</v>
      </c>
      <c r="F8" s="255">
        <f>'DOE25'!J204+'DOE25'!J222+'DOE25'!J240</f>
        <v>28.990000000000002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59522.85</v>
      </c>
      <c r="D9" s="244">
        <v>59522.85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20600</v>
      </c>
      <c r="D10" s="243"/>
      <c r="E10" s="244">
        <v>20600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104104.44</v>
      </c>
      <c r="D11" s="244">
        <v>104104.44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2197671.02</v>
      </c>
      <c r="D12" s="20">
        <f>'DOE25'!L205+'DOE25'!L223+'DOE25'!L241-F12-G12</f>
        <v>2167526.9900000002</v>
      </c>
      <c r="E12" s="243"/>
      <c r="F12" s="255">
        <f>'DOE25'!J205+'DOE25'!J223+'DOE25'!J241</f>
        <v>5609.67</v>
      </c>
      <c r="G12" s="53">
        <f>'DOE25'!K205+'DOE25'!K223+'DOE25'!K241</f>
        <v>24534.36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5562454.9499999993</v>
      </c>
      <c r="D14" s="20">
        <f>'DOE25'!L207+'DOE25'!L225+'DOE25'!L243-F14-G14</f>
        <v>5550344.4699999988</v>
      </c>
      <c r="E14" s="243"/>
      <c r="F14" s="255">
        <f>'DOE25'!J207+'DOE25'!J225+'DOE25'!J243</f>
        <v>1050</v>
      </c>
      <c r="G14" s="53">
        <f>'DOE25'!K207+'DOE25'!K225+'DOE25'!K243</f>
        <v>11060.48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2116161.44</v>
      </c>
      <c r="D15" s="20">
        <f>'DOE25'!L208+'DOE25'!L226+'DOE25'!L244-F15-G15</f>
        <v>2116161.44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135883.49</v>
      </c>
      <c r="D17" s="20">
        <f>'DOE25'!L251-F17-G17</f>
        <v>135883.49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3187953</v>
      </c>
      <c r="D25" s="243"/>
      <c r="E25" s="243"/>
      <c r="F25" s="258"/>
      <c r="G25" s="256"/>
      <c r="H25" s="257">
        <f>'DOE25'!L260+'DOE25'!L261+'DOE25'!L341+'DOE25'!L342</f>
        <v>3187953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579069.56999999983</v>
      </c>
      <c r="D29" s="20">
        <f>'DOE25'!L358+'DOE25'!L359+'DOE25'!L360-'DOE25'!I367-F29-G29</f>
        <v>485812.04999999981</v>
      </c>
      <c r="E29" s="243"/>
      <c r="F29" s="255">
        <f>'DOE25'!J358+'DOE25'!J359+'DOE25'!J360</f>
        <v>90015.310000000012</v>
      </c>
      <c r="G29" s="53">
        <f>'DOE25'!K358+'DOE25'!K359+'DOE25'!K360</f>
        <v>3242.21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1256128.8499999999</v>
      </c>
      <c r="D31" s="20">
        <f>'DOE25'!L290+'DOE25'!L309+'DOE25'!L328+'DOE25'!L333+'DOE25'!L334+'DOE25'!L335-F31-G31</f>
        <v>428384.70999999985</v>
      </c>
      <c r="E31" s="243"/>
      <c r="F31" s="255">
        <f>'DOE25'!J290+'DOE25'!J309+'DOE25'!J328+'DOE25'!J333+'DOE25'!J334+'DOE25'!J335</f>
        <v>4049.91</v>
      </c>
      <c r="G31" s="53">
        <f>'DOE25'!K290+'DOE25'!K309+'DOE25'!K328+'DOE25'!K333+'DOE25'!K334+'DOE25'!K335</f>
        <v>823694.2300000001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49287674.749999993</v>
      </c>
      <c r="E33" s="246">
        <f>SUM(E5:E31)</f>
        <v>1096336.68</v>
      </c>
      <c r="F33" s="246">
        <f>SUM(F5:F31)</f>
        <v>522213.31999999995</v>
      </c>
      <c r="G33" s="246">
        <f>SUM(G5:G31)</f>
        <v>902023.00000000012</v>
      </c>
      <c r="H33" s="246">
        <f>SUM(H5:H31)</f>
        <v>3187953</v>
      </c>
    </row>
    <row r="35" spans="2:8" ht="12" thickBot="1" x14ac:dyDescent="0.25">
      <c r="B35" s="253" t="s">
        <v>841</v>
      </c>
      <c r="D35" s="254">
        <f>E33</f>
        <v>1096336.68</v>
      </c>
      <c r="E35" s="249"/>
    </row>
    <row r="36" spans="2:8" ht="12" thickTop="1" x14ac:dyDescent="0.2">
      <c r="B36" t="s">
        <v>809</v>
      </c>
      <c r="D36" s="20">
        <f>D33</f>
        <v>49287674.749999993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REGION COOPERATIVE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539931.15</v>
      </c>
      <c r="D8" s="95">
        <f>'DOE25'!G9</f>
        <v>0</v>
      </c>
      <c r="E8" s="95">
        <f>'DOE25'!H9</f>
        <v>333585.31</v>
      </c>
      <c r="F8" s="95">
        <f>'DOE25'!I9</f>
        <v>0</v>
      </c>
      <c r="G8" s="95">
        <f>'DOE25'!J9</f>
        <v>1631626.9200000002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4449254.22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46407.91</v>
      </c>
      <c r="D11" s="95">
        <f>'DOE25'!G12</f>
        <v>381852.35</v>
      </c>
      <c r="E11" s="95">
        <f>'DOE25'!H12</f>
        <v>190982.05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171080.41</v>
      </c>
      <c r="D12" s="95">
        <f>'DOE25'!G13</f>
        <v>18792.71</v>
      </c>
      <c r="E12" s="95">
        <f>'DOE25'!H13</f>
        <v>46407.91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31986.58</v>
      </c>
      <c r="D13" s="95">
        <f>'DOE25'!G14</f>
        <v>509.25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118323.32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5356983.5900000008</v>
      </c>
      <c r="D18" s="41">
        <f>SUM(D8:D17)</f>
        <v>401154.31</v>
      </c>
      <c r="E18" s="41">
        <f>SUM(E8:E17)</f>
        <v>570975.27</v>
      </c>
      <c r="F18" s="41">
        <f>SUM(F8:F17)</f>
        <v>0</v>
      </c>
      <c r="G18" s="41">
        <f>SUM(G8:G17)</f>
        <v>1631626.9200000002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572834.4</v>
      </c>
      <c r="D21" s="95">
        <f>'DOE25'!G22</f>
        <v>0</v>
      </c>
      <c r="E21" s="95">
        <f>'DOE25'!H22</f>
        <v>46407.91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1200861.8500000001</v>
      </c>
      <c r="D22" s="95">
        <f>'DOE25'!G23</f>
        <v>3748.3</v>
      </c>
      <c r="E22" s="95">
        <f>'DOE25'!H23</f>
        <v>1130.26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118124.06</v>
      </c>
      <c r="D23" s="95">
        <f>'DOE25'!G24</f>
        <v>9458.16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25091.48</v>
      </c>
      <c r="D27" s="95">
        <f>'DOE25'!G28</f>
        <v>820.95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32759.73</v>
      </c>
      <c r="E29" s="95">
        <f>'DOE25'!H30</f>
        <v>5565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50559.51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1967471.3</v>
      </c>
      <c r="D31" s="41">
        <f>SUM(D21:D30)</f>
        <v>46787.14</v>
      </c>
      <c r="E31" s="41">
        <f>SUM(E21:E30)</f>
        <v>53103.170000000006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354367.17</v>
      </c>
      <c r="E47" s="95">
        <f>'DOE25'!H48</f>
        <v>517872.1</v>
      </c>
      <c r="F47" s="95">
        <f>'DOE25'!I48</f>
        <v>0</v>
      </c>
      <c r="G47" s="95">
        <f>'DOE25'!J48</f>
        <v>1631626.9200000002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311900.32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3027611.97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3389512.29</v>
      </c>
      <c r="D50" s="41">
        <f>SUM(D34:D49)</f>
        <v>354367.17</v>
      </c>
      <c r="E50" s="41">
        <f>SUM(E34:E49)</f>
        <v>517872.1</v>
      </c>
      <c r="F50" s="41">
        <f>SUM(F34:F49)</f>
        <v>0</v>
      </c>
      <c r="G50" s="41">
        <f>SUM(G34:G49)</f>
        <v>1631626.9200000002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5356983.59</v>
      </c>
      <c r="D51" s="41">
        <f>D50+D31</f>
        <v>401154.31</v>
      </c>
      <c r="E51" s="41">
        <f>E50+E31</f>
        <v>570975.27</v>
      </c>
      <c r="F51" s="41">
        <f>F50+F31</f>
        <v>0</v>
      </c>
      <c r="G51" s="41">
        <f>G50+G31</f>
        <v>1631626.9200000002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35915870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1241800.42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11587.19</v>
      </c>
      <c r="D59" s="95">
        <f>'DOE25'!G96</f>
        <v>88.08</v>
      </c>
      <c r="E59" s="95">
        <f>'DOE25'!H96</f>
        <v>0</v>
      </c>
      <c r="F59" s="95">
        <f>'DOE25'!I96</f>
        <v>0</v>
      </c>
      <c r="G59" s="95">
        <f>'DOE25'!J96</f>
        <v>15788.05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779730.77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259119.77</v>
      </c>
      <c r="D61" s="95">
        <f>SUM('DOE25'!G98:G110)</f>
        <v>65792.240000000005</v>
      </c>
      <c r="E61" s="95">
        <f>SUM('DOE25'!H98:H110)</f>
        <v>937610.22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1512507.38</v>
      </c>
      <c r="D62" s="130">
        <f>SUM(D57:D61)</f>
        <v>845611.09</v>
      </c>
      <c r="E62" s="130">
        <f>SUM(E57:E61)</f>
        <v>937610.22</v>
      </c>
      <c r="F62" s="130">
        <f>SUM(F57:F61)</f>
        <v>0</v>
      </c>
      <c r="G62" s="130">
        <f>SUM(G57:G61)</f>
        <v>15788.05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37428377.380000003</v>
      </c>
      <c r="D63" s="22">
        <f>D56+D62</f>
        <v>845611.09</v>
      </c>
      <c r="E63" s="22">
        <f>E56+E62</f>
        <v>937610.22</v>
      </c>
      <c r="F63" s="22">
        <f>F56+F62</f>
        <v>0</v>
      </c>
      <c r="G63" s="22">
        <f>G56+G62</f>
        <v>15788.05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6264304.7000000002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5987514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31400.95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12283219.649999999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1173051.5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406225.3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1176358.49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9814.3700000000008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2755635.29</v>
      </c>
      <c r="D78" s="130">
        <f>SUM(D72:D77)</f>
        <v>9814.3700000000008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15038854.939999998</v>
      </c>
      <c r="D81" s="130">
        <f>SUM(D79:D80)+D78+D70</f>
        <v>9814.3700000000008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390604.74</v>
      </c>
      <c r="D88" s="95">
        <f>SUM('DOE25'!G153:G161)</f>
        <v>225141.64</v>
      </c>
      <c r="E88" s="95">
        <f>SUM('DOE25'!H153:H161)</f>
        <v>343411.1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390604.74</v>
      </c>
      <c r="D91" s="131">
        <f>SUM(D85:D90)</f>
        <v>225141.64</v>
      </c>
      <c r="E91" s="131">
        <f>SUM(E85:E90)</f>
        <v>343411.1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52857837.060000002</v>
      </c>
      <c r="D104" s="86">
        <f>D63+D81+D91+D103</f>
        <v>1080567.1000000001</v>
      </c>
      <c r="E104" s="86">
        <f>E63+E81+E91+E103</f>
        <v>1281021.3199999998</v>
      </c>
      <c r="F104" s="86">
        <f>F63+F81+F91+F103</f>
        <v>0</v>
      </c>
      <c r="G104" s="86">
        <f>G63+G81+G103</f>
        <v>65788.05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20451826.550000001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8041688.8900000006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2527785.64</v>
      </c>
      <c r="D111" s="24" t="s">
        <v>286</v>
      </c>
      <c r="E111" s="95">
        <f>('DOE25'!L278)+('DOE25'!L297)+('DOE25'!L316)</f>
        <v>81066.040000000008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1144309.69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135883.49</v>
      </c>
      <c r="D114" s="24" t="s">
        <v>286</v>
      </c>
      <c r="E114" s="95">
        <f>+ SUM('DOE25'!L333:L335)</f>
        <v>350828.33999999997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32301494.260000002</v>
      </c>
      <c r="D115" s="86">
        <f>SUM(D109:D114)</f>
        <v>0</v>
      </c>
      <c r="E115" s="86">
        <f>SUM(E109:E114)</f>
        <v>431894.38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4091852.37</v>
      </c>
      <c r="D118" s="24" t="s">
        <v>286</v>
      </c>
      <c r="E118" s="95">
        <f>+('DOE25'!L281)+('DOE25'!L300)+('DOE25'!L319)</f>
        <v>824234.47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2443422.33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1239392.96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2197671.02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5562454.9499999993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2116161.44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1043772.8399999999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17650955.07</v>
      </c>
      <c r="D128" s="86">
        <f>SUM(D118:D127)</f>
        <v>1043772.8399999999</v>
      </c>
      <c r="E128" s="86">
        <f>SUM(E118:E127)</f>
        <v>824234.47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1720739.82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1467213.18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 t="str">
        <f>'DOE25'!K361</f>
        <v xml:space="preserve"> 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55496.610000000008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10291.439999999999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-15788.050000000003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280000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3517953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53470402.329999998</v>
      </c>
      <c r="D145" s="86">
        <f>(D115+D128+D144)</f>
        <v>1043772.8399999999</v>
      </c>
      <c r="E145" s="86">
        <f>(E115+E128+E144)</f>
        <v>1256128.8500000001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8/03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8/15/23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42695000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10561826.24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10561826.24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1720739.82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1720739.82</v>
      </c>
    </row>
    <row r="159" spans="1:9" x14ac:dyDescent="0.2">
      <c r="A159" s="22" t="s">
        <v>35</v>
      </c>
      <c r="B159" s="137">
        <f>'DOE25'!F498</f>
        <v>8841086.4199999999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8841086.4199999999</v>
      </c>
    </row>
    <row r="160" spans="1:9" x14ac:dyDescent="0.2">
      <c r="A160" s="22" t="s">
        <v>36</v>
      </c>
      <c r="B160" s="137">
        <f>'DOE25'!F499</f>
        <v>10196348.58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10196348.58</v>
      </c>
    </row>
    <row r="161" spans="1:7" x14ac:dyDescent="0.2">
      <c r="A161" s="22" t="s">
        <v>37</v>
      </c>
      <c r="B161" s="137">
        <f>'DOE25'!F500</f>
        <v>19037435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19037435</v>
      </c>
    </row>
    <row r="162" spans="1:7" x14ac:dyDescent="0.2">
      <c r="A162" s="22" t="s">
        <v>38</v>
      </c>
      <c r="B162" s="137">
        <f>'DOE25'!F501</f>
        <v>1647785.06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1647785.06</v>
      </c>
    </row>
    <row r="163" spans="1:7" x14ac:dyDescent="0.2">
      <c r="A163" s="22" t="s">
        <v>39</v>
      </c>
      <c r="B163" s="137">
        <f>'DOE25'!F502</f>
        <v>1524258.19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1524258.19</v>
      </c>
    </row>
    <row r="164" spans="1:7" x14ac:dyDescent="0.2">
      <c r="A164" s="22" t="s">
        <v>246</v>
      </c>
      <c r="B164" s="137">
        <f>'DOE25'!F503</f>
        <v>3172043.25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3172043.25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EXETER REGION COOPERATIVE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15405</v>
      </c>
    </row>
    <row r="6" spans="1:4" x14ac:dyDescent="0.2">
      <c r="B6" t="s">
        <v>62</v>
      </c>
      <c r="C6" s="179">
        <f>IF('DOE25'!H665+'DOE25'!H670=0,0,ROUND('DOE25'!H672,0))</f>
        <v>15243</v>
      </c>
    </row>
    <row r="7" spans="1:4" x14ac:dyDescent="0.2">
      <c r="B7" t="s">
        <v>699</v>
      </c>
      <c r="C7" s="179">
        <f>IF('DOE25'!I665+'DOE25'!I670=0,0,ROUND('DOE25'!I672,0))</f>
        <v>15310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20451827</v>
      </c>
      <c r="D10" s="182">
        <f>ROUND((C10/$C$28)*100,1)</f>
        <v>38.5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8041689</v>
      </c>
      <c r="D11" s="182">
        <f>ROUND((C11/$C$28)*100,1)</f>
        <v>15.1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2608852</v>
      </c>
      <c r="D12" s="182">
        <f>ROUND((C12/$C$28)*100,1)</f>
        <v>4.9000000000000004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1144310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4916087</v>
      </c>
      <c r="D15" s="182">
        <f t="shared" ref="D15:D27" si="0">ROUND((C15/$C$28)*100,1)</f>
        <v>9.1999999999999993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2443422</v>
      </c>
      <c r="D16" s="182">
        <f t="shared" si="0"/>
        <v>4.5999999999999996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1239393</v>
      </c>
      <c r="D17" s="182">
        <f t="shared" si="0"/>
        <v>2.2999999999999998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2197671</v>
      </c>
      <c r="D18" s="182">
        <f t="shared" si="0"/>
        <v>4.0999999999999996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5562455</v>
      </c>
      <c r="D20" s="182">
        <f t="shared" si="0"/>
        <v>10.5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2116161</v>
      </c>
      <c r="D21" s="182">
        <f t="shared" si="0"/>
        <v>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486712</v>
      </c>
      <c r="D24" s="182">
        <f t="shared" si="0"/>
        <v>0.9</v>
      </c>
    </row>
    <row r="25" spans="1:4" x14ac:dyDescent="0.2">
      <c r="A25">
        <v>5120</v>
      </c>
      <c r="B25" t="s">
        <v>714</v>
      </c>
      <c r="C25" s="179">
        <f>ROUND('DOE25'!L261+'DOE25'!L342,0)</f>
        <v>1467213</v>
      </c>
      <c r="D25" s="182">
        <f t="shared" si="0"/>
        <v>2.8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280000</v>
      </c>
      <c r="D26" s="182">
        <f t="shared" si="0"/>
        <v>0.5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198249.99</v>
      </c>
      <c r="D27" s="182">
        <f t="shared" si="0"/>
        <v>0.4</v>
      </c>
    </row>
    <row r="28" spans="1:4" x14ac:dyDescent="0.2">
      <c r="B28" s="187" t="s">
        <v>717</v>
      </c>
      <c r="C28" s="180">
        <f>SUM(C10:C27)</f>
        <v>53154041.990000002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53154041.990000002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1720740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35915870</v>
      </c>
      <c r="D35" s="182">
        <f t="shared" ref="D35:D40" si="1">ROUND((C35/$C$41)*100,1)</f>
        <v>66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2465993.7300000042</v>
      </c>
      <c r="D36" s="182">
        <f t="shared" si="1"/>
        <v>4.5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12251819</v>
      </c>
      <c r="D37" s="182">
        <f t="shared" si="1"/>
        <v>22.5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2796851</v>
      </c>
      <c r="D38" s="182">
        <f t="shared" si="1"/>
        <v>5.0999999999999996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959157</v>
      </c>
      <c r="D39" s="182">
        <f t="shared" si="1"/>
        <v>1.8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54389690.730000004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Q23" sqref="Q2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EXETER REGION COOPERATIVE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4</v>
      </c>
      <c r="B4" s="219">
        <v>6</v>
      </c>
      <c r="C4" s="285" t="s">
        <v>915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2018-09-13T13:38:29Z</cp:lastPrinted>
  <dcterms:created xsi:type="dcterms:W3CDTF">1997-12-04T19:04:30Z</dcterms:created>
  <dcterms:modified xsi:type="dcterms:W3CDTF">2018-12-03T18:39:34Z</dcterms:modified>
</cp:coreProperties>
</file>