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0" yWindow="0" windowWidth="28800" windowHeight="110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 iterateDelta="4.1486142249243762E-271"/>
</workbook>
</file>

<file path=xl/calcChain.xml><?xml version="1.0" encoding="utf-8"?>
<calcChain xmlns="http://schemas.openxmlformats.org/spreadsheetml/2006/main">
  <c r="C45" i="2" l="1"/>
  <c r="G51" i="1"/>
  <c r="F51" i="1"/>
  <c r="C37" i="10"/>
  <c r="F40" i="2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/>
  <c r="G44" i="2" s="1"/>
  <c r="I458" i="1"/>
  <c r="J39" i="1"/>
  <c r="G38" i="2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C125" i="2" s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C114" i="2" s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/>
  <c r="B4" i="12"/>
  <c r="B36" i="12"/>
  <c r="C36" i="12"/>
  <c r="B40" i="12"/>
  <c r="C40" i="12"/>
  <c r="B27" i="12"/>
  <c r="C27" i="12"/>
  <c r="B31" i="12"/>
  <c r="A31" i="12" s="1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401" i="1" s="1"/>
  <c r="L399" i="1"/>
  <c r="L400" i="1"/>
  <c r="L403" i="1"/>
  <c r="L404" i="1"/>
  <c r="L405" i="1"/>
  <c r="L406" i="1"/>
  <c r="L266" i="1"/>
  <c r="J60" i="1"/>
  <c r="G59" i="2"/>
  <c r="G61" i="2"/>
  <c r="F2" i="11"/>
  <c r="L613" i="1"/>
  <c r="H663" i="1" s="1"/>
  <c r="L612" i="1"/>
  <c r="G663" i="1"/>
  <c r="L611" i="1"/>
  <c r="F663" i="1"/>
  <c r="C40" i="10"/>
  <c r="F60" i="1"/>
  <c r="G60" i="1"/>
  <c r="H60" i="1"/>
  <c r="I60" i="1"/>
  <c r="I112" i="1" s="1"/>
  <c r="F79" i="1"/>
  <c r="C57" i="2" s="1"/>
  <c r="C62" i="2" s="1"/>
  <c r="F94" i="1"/>
  <c r="F111" i="1"/>
  <c r="G111" i="1"/>
  <c r="G112" i="1"/>
  <c r="H79" i="1"/>
  <c r="H94" i="1"/>
  <c r="H111" i="1"/>
  <c r="I111" i="1"/>
  <c r="J111" i="1"/>
  <c r="F121" i="1"/>
  <c r="F136" i="1"/>
  <c r="G121" i="1"/>
  <c r="G136" i="1"/>
  <c r="H121" i="1"/>
  <c r="H136" i="1"/>
  <c r="I121" i="1"/>
  <c r="I136" i="1"/>
  <c r="J121" i="1"/>
  <c r="J140" i="1" s="1"/>
  <c r="J136" i="1"/>
  <c r="F147" i="1"/>
  <c r="F162" i="1"/>
  <c r="G147" i="1"/>
  <c r="D85" i="2" s="1"/>
  <c r="D91" i="2" s="1"/>
  <c r="G162" i="1"/>
  <c r="H147" i="1"/>
  <c r="H162" i="1"/>
  <c r="I147" i="1"/>
  <c r="F85" i="2" s="1"/>
  <c r="I162" i="1"/>
  <c r="C10" i="10"/>
  <c r="C12" i="10"/>
  <c r="C17" i="10"/>
  <c r="C18" i="10"/>
  <c r="L250" i="1"/>
  <c r="L332" i="1"/>
  <c r="L254" i="1"/>
  <c r="C25" i="10"/>
  <c r="L268" i="1"/>
  <c r="L269" i="1"/>
  <c r="L349" i="1"/>
  <c r="L350" i="1"/>
  <c r="C26" i="10" s="1"/>
  <c r="I665" i="1"/>
  <c r="I670" i="1"/>
  <c r="L229" i="1"/>
  <c r="F661" i="1"/>
  <c r="G661" i="1"/>
  <c r="H661" i="1"/>
  <c r="F662" i="1"/>
  <c r="H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E135" i="2" s="1"/>
  <c r="L346" i="1"/>
  <c r="L347" i="1"/>
  <c r="K351" i="1"/>
  <c r="L521" i="1"/>
  <c r="F549" i="1" s="1"/>
  <c r="L522" i="1"/>
  <c r="F550" i="1"/>
  <c r="L523" i="1"/>
  <c r="F551" i="1" s="1"/>
  <c r="L526" i="1"/>
  <c r="G549" i="1"/>
  <c r="L527" i="1"/>
  <c r="L528" i="1"/>
  <c r="G551" i="1" s="1"/>
  <c r="L531" i="1"/>
  <c r="L532" i="1"/>
  <c r="H550" i="1"/>
  <c r="L533" i="1"/>
  <c r="H551" i="1" s="1"/>
  <c r="L536" i="1"/>
  <c r="I549" i="1" s="1"/>
  <c r="I552" i="1" s="1"/>
  <c r="L537" i="1"/>
  <c r="I550" i="1" s="1"/>
  <c r="L538" i="1"/>
  <c r="I551" i="1"/>
  <c r="L541" i="1"/>
  <c r="J549" i="1" s="1"/>
  <c r="L542" i="1"/>
  <c r="J550" i="1"/>
  <c r="L543" i="1"/>
  <c r="J551" i="1" s="1"/>
  <c r="E132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/>
  <c r="G8" i="2"/>
  <c r="C9" i="2"/>
  <c r="D9" i="2"/>
  <c r="E9" i="2"/>
  <c r="F9" i="2"/>
  <c r="I440" i="1"/>
  <c r="J10" i="1"/>
  <c r="G9" i="2"/>
  <c r="C10" i="2"/>
  <c r="C11" i="2"/>
  <c r="D11" i="2"/>
  <c r="E11" i="2"/>
  <c r="F11" i="2"/>
  <c r="I441" i="1"/>
  <c r="J12" i="1"/>
  <c r="G11" i="2"/>
  <c r="C12" i="2"/>
  <c r="D12" i="2"/>
  <c r="E12" i="2"/>
  <c r="F12" i="2"/>
  <c r="I442" i="1"/>
  <c r="C13" i="2"/>
  <c r="D13" i="2"/>
  <c r="E13" i="2"/>
  <c r="F13" i="2"/>
  <c r="I443" i="1"/>
  <c r="J14" i="1"/>
  <c r="G13" i="2" s="1"/>
  <c r="F14" i="2"/>
  <c r="C15" i="2"/>
  <c r="D15" i="2"/>
  <c r="E15" i="2"/>
  <c r="F15" i="2"/>
  <c r="C16" i="2"/>
  <c r="D16" i="2"/>
  <c r="E16" i="2"/>
  <c r="F16" i="2"/>
  <c r="I444" i="1"/>
  <c r="J17" i="1"/>
  <c r="C17" i="2"/>
  <c r="D17" i="2"/>
  <c r="E17" i="2"/>
  <c r="F17" i="2"/>
  <c r="I445" i="1"/>
  <c r="J18" i="1"/>
  <c r="G17" i="2"/>
  <c r="C21" i="2"/>
  <c r="D21" i="2"/>
  <c r="E21" i="2"/>
  <c r="F21" i="2"/>
  <c r="I448" i="1"/>
  <c r="C22" i="2"/>
  <c r="D22" i="2"/>
  <c r="E22" i="2"/>
  <c r="F22" i="2"/>
  <c r="I449" i="1"/>
  <c r="J23" i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/>
  <c r="G30" i="2" s="1"/>
  <c r="C34" i="2"/>
  <c r="D34" i="2"/>
  <c r="E34" i="2"/>
  <c r="F34" i="2"/>
  <c r="C35" i="2"/>
  <c r="D35" i="2"/>
  <c r="E35" i="2"/>
  <c r="F35" i="2"/>
  <c r="I454" i="1"/>
  <c r="J49" i="1"/>
  <c r="G48" i="2"/>
  <c r="I456" i="1"/>
  <c r="J43" i="1"/>
  <c r="I457" i="1"/>
  <c r="J37" i="1"/>
  <c r="I459" i="1"/>
  <c r="J48" i="1"/>
  <c r="G47" i="2"/>
  <c r="C49" i="2"/>
  <c r="D56" i="2"/>
  <c r="E56" i="2"/>
  <c r="F56" i="2"/>
  <c r="E57" i="2"/>
  <c r="C58" i="2"/>
  <c r="E58" i="2"/>
  <c r="E62" i="2" s="1"/>
  <c r="C59" i="2"/>
  <c r="D59" i="2"/>
  <c r="E59" i="2"/>
  <c r="F59" i="2"/>
  <c r="D60" i="2"/>
  <c r="C61" i="2"/>
  <c r="D61" i="2"/>
  <c r="E61" i="2"/>
  <c r="F61" i="2"/>
  <c r="C66" i="2"/>
  <c r="C70" i="2" s="1"/>
  <c r="C67" i="2"/>
  <c r="C69" i="2"/>
  <c r="D69" i="2"/>
  <c r="D70" i="2"/>
  <c r="D81" i="2" s="1"/>
  <c r="E69" i="2"/>
  <c r="E70" i="2"/>
  <c r="F69" i="2"/>
  <c r="F70" i="2"/>
  <c r="G69" i="2"/>
  <c r="G70" i="2"/>
  <c r="C72" i="2"/>
  <c r="F72" i="2"/>
  <c r="F78" i="2" s="1"/>
  <c r="C73" i="2"/>
  <c r="C74" i="2"/>
  <c r="C75" i="2"/>
  <c r="C76" i="2"/>
  <c r="C77" i="2"/>
  <c r="C79" i="2"/>
  <c r="C80" i="2"/>
  <c r="F73" i="2"/>
  <c r="E76" i="2"/>
  <c r="F76" i="2"/>
  <c r="D77" i="2"/>
  <c r="D78" i="2"/>
  <c r="E77" i="2"/>
  <c r="F77" i="2"/>
  <c r="G77" i="2"/>
  <c r="G78" i="2"/>
  <c r="G81" i="2"/>
  <c r="D79" i="2"/>
  <c r="E79" i="2"/>
  <c r="E80" i="2"/>
  <c r="C85" i="2"/>
  <c r="C91" i="2" s="1"/>
  <c r="E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0" i="2"/>
  <c r="E110" i="2"/>
  <c r="C111" i="2"/>
  <c r="E111" i="2"/>
  <c r="E112" i="2"/>
  <c r="C113" i="2"/>
  <c r="E113" i="2"/>
  <c r="E114" i="2"/>
  <c r="D115" i="2"/>
  <c r="F115" i="2"/>
  <c r="G115" i="2"/>
  <c r="E118" i="2"/>
  <c r="E119" i="2"/>
  <c r="C120" i="2"/>
  <c r="E120" i="2"/>
  <c r="C121" i="2"/>
  <c r="E121" i="2"/>
  <c r="E122" i="2"/>
  <c r="E123" i="2"/>
  <c r="E124" i="2"/>
  <c r="E125" i="2"/>
  <c r="D127" i="2"/>
  <c r="D128" i="2"/>
  <c r="F128" i="2"/>
  <c r="G128" i="2"/>
  <c r="C130" i="2"/>
  <c r="E130" i="2"/>
  <c r="D134" i="2"/>
  <c r="D144" i="2" s="1"/>
  <c r="D145" i="2" s="1"/>
  <c r="E134" i="2"/>
  <c r="F134" i="2"/>
  <c r="K419" i="1"/>
  <c r="K427" i="1"/>
  <c r="K433" i="1"/>
  <c r="L263" i="1"/>
  <c r="C135" i="2" s="1"/>
  <c r="L264" i="1"/>
  <c r="C136" i="2"/>
  <c r="L265" i="1"/>
  <c r="C137" i="2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/>
  <c r="G500" i="1"/>
  <c r="H500" i="1"/>
  <c r="D161" i="2"/>
  <c r="I500" i="1"/>
  <c r="E161" i="2" s="1"/>
  <c r="J500" i="1"/>
  <c r="F161" i="2"/>
  <c r="B162" i="2"/>
  <c r="C162" i="2"/>
  <c r="D162" i="2"/>
  <c r="E162" i="2"/>
  <c r="F162" i="2"/>
  <c r="B163" i="2"/>
  <c r="C163" i="2"/>
  <c r="D163" i="2"/>
  <c r="E163" i="2"/>
  <c r="F163" i="2"/>
  <c r="F503" i="1"/>
  <c r="B164" i="2"/>
  <c r="G503" i="1"/>
  <c r="C164" i="2" s="1"/>
  <c r="H503" i="1"/>
  <c r="D164" i="2"/>
  <c r="I503" i="1"/>
  <c r="E164" i="2" s="1"/>
  <c r="J503" i="1"/>
  <c r="F164" i="2"/>
  <c r="F19" i="1"/>
  <c r="G617" i="1" s="1"/>
  <c r="G19" i="1"/>
  <c r="H19" i="1"/>
  <c r="I19" i="1"/>
  <c r="G620" i="1" s="1"/>
  <c r="F32" i="1"/>
  <c r="F52" i="1" s="1"/>
  <c r="H617" i="1" s="1"/>
  <c r="G32" i="1"/>
  <c r="H32" i="1"/>
  <c r="I32" i="1"/>
  <c r="G52" i="1"/>
  <c r="H618" i="1"/>
  <c r="H51" i="1"/>
  <c r="H52" i="1" s="1"/>
  <c r="H619" i="1" s="1"/>
  <c r="I51" i="1"/>
  <c r="G625" i="1" s="1"/>
  <c r="I52" i="1"/>
  <c r="H620" i="1" s="1"/>
  <c r="F177" i="1"/>
  <c r="I177" i="1"/>
  <c r="F183" i="1"/>
  <c r="F192" i="1" s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/>
  <c r="J352" i="1"/>
  <c r="K337" i="1"/>
  <c r="F362" i="1"/>
  <c r="G362" i="1"/>
  <c r="H362" i="1"/>
  <c r="I362" i="1"/>
  <c r="J362" i="1"/>
  <c r="K362" i="1"/>
  <c r="I368" i="1"/>
  <c r="F369" i="1"/>
  <c r="G369" i="1"/>
  <c r="H369" i="1"/>
  <c r="L381" i="1"/>
  <c r="L382" i="1"/>
  <c r="G636" i="1" s="1"/>
  <c r="J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3" i="1" s="1"/>
  <c r="L432" i="1"/>
  <c r="F433" i="1"/>
  <c r="G433" i="1"/>
  <c r="H433" i="1"/>
  <c r="I433" i="1"/>
  <c r="J433" i="1"/>
  <c r="F446" i="1"/>
  <c r="G446" i="1"/>
  <c r="G640" i="1" s="1"/>
  <c r="H446" i="1"/>
  <c r="F452" i="1"/>
  <c r="G452" i="1"/>
  <c r="G461" i="1" s="1"/>
  <c r="H640" i="1" s="1"/>
  <c r="H452" i="1"/>
  <c r="H461" i="1" s="1"/>
  <c r="H641" i="1" s="1"/>
  <c r="F460" i="1"/>
  <c r="G460" i="1"/>
  <c r="H460" i="1"/>
  <c r="I460" i="1"/>
  <c r="F461" i="1"/>
  <c r="F470" i="1"/>
  <c r="G470" i="1"/>
  <c r="H470" i="1"/>
  <c r="H476" i="1" s="1"/>
  <c r="I470" i="1"/>
  <c r="J470" i="1"/>
  <c r="F474" i="1"/>
  <c r="F476" i="1" s="1"/>
  <c r="H622" i="1" s="1"/>
  <c r="G474" i="1"/>
  <c r="H474" i="1"/>
  <c r="I474" i="1"/>
  <c r="J474" i="1"/>
  <c r="K495" i="1"/>
  <c r="K496" i="1"/>
  <c r="K497" i="1"/>
  <c r="K498" i="1"/>
  <c r="K499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F545" i="1" s="1"/>
  <c r="G529" i="1"/>
  <c r="H529" i="1"/>
  <c r="I529" i="1"/>
  <c r="J529" i="1"/>
  <c r="K529" i="1"/>
  <c r="F534" i="1"/>
  <c r="G534" i="1"/>
  <c r="G545" i="1" s="1"/>
  <c r="H534" i="1"/>
  <c r="I534" i="1"/>
  <c r="J534" i="1"/>
  <c r="K534" i="1"/>
  <c r="K545" i="1" s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/>
  <c r="J649" i="1" s="1"/>
  <c r="I598" i="1"/>
  <c r="H650" i="1"/>
  <c r="J598" i="1"/>
  <c r="H651" i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8" i="1"/>
  <c r="G619" i="1"/>
  <c r="G622" i="1"/>
  <c r="G623" i="1"/>
  <c r="G624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39" i="1"/>
  <c r="H639" i="1"/>
  <c r="J639" i="1" s="1"/>
  <c r="G641" i="1"/>
  <c r="G643" i="1"/>
  <c r="H643" i="1"/>
  <c r="J643" i="1" s="1"/>
  <c r="G644" i="1"/>
  <c r="H644" i="1"/>
  <c r="G645" i="1"/>
  <c r="H645" i="1"/>
  <c r="G649" i="1"/>
  <c r="G650" i="1"/>
  <c r="G651" i="1"/>
  <c r="G652" i="1"/>
  <c r="H652" i="1"/>
  <c r="G653" i="1"/>
  <c r="H653" i="1"/>
  <c r="G654" i="1"/>
  <c r="H654" i="1"/>
  <c r="H655" i="1"/>
  <c r="I257" i="1"/>
  <c r="I271" i="1" s="1"/>
  <c r="G164" i="2"/>
  <c r="L328" i="1"/>
  <c r="L290" i="1"/>
  <c r="A40" i="12"/>
  <c r="D12" i="13"/>
  <c r="C12" i="13" s="1"/>
  <c r="D62" i="2"/>
  <c r="D63" i="2"/>
  <c r="D18" i="13"/>
  <c r="C18" i="13" s="1"/>
  <c r="D7" i="13"/>
  <c r="C7" i="13" s="1"/>
  <c r="D17" i="13"/>
  <c r="C17" i="13" s="1"/>
  <c r="E8" i="13"/>
  <c r="C8" i="13"/>
  <c r="F81" i="2"/>
  <c r="D31" i="2"/>
  <c r="D50" i="2"/>
  <c r="G157" i="2"/>
  <c r="F18" i="2"/>
  <c r="E115" i="2"/>
  <c r="E103" i="2"/>
  <c r="E63" i="2"/>
  <c r="E31" i="2"/>
  <c r="G62" i="2"/>
  <c r="D19" i="13"/>
  <c r="C19" i="13" s="1"/>
  <c r="E13" i="13"/>
  <c r="C13" i="13" s="1"/>
  <c r="E78" i="2"/>
  <c r="E81" i="2"/>
  <c r="H112" i="1"/>
  <c r="K605" i="1"/>
  <c r="G648" i="1" s="1"/>
  <c r="K571" i="1"/>
  <c r="I169" i="1"/>
  <c r="H169" i="1"/>
  <c r="J644" i="1"/>
  <c r="J476" i="1"/>
  <c r="H626" i="1" s="1"/>
  <c r="H624" i="1"/>
  <c r="J624" i="1" s="1"/>
  <c r="J622" i="1"/>
  <c r="I476" i="1"/>
  <c r="H625" i="1" s="1"/>
  <c r="G476" i="1"/>
  <c r="H623" i="1"/>
  <c r="G338" i="1"/>
  <c r="G352" i="1"/>
  <c r="F169" i="1"/>
  <c r="H257" i="1"/>
  <c r="H271" i="1" s="1"/>
  <c r="G22" i="2"/>
  <c r="K598" i="1"/>
  <c r="G647" i="1" s="1"/>
  <c r="J552" i="1"/>
  <c r="I661" i="1"/>
  <c r="H140" i="1"/>
  <c r="C139" i="2"/>
  <c r="L393" i="1"/>
  <c r="C138" i="2" s="1"/>
  <c r="A13" i="12"/>
  <c r="F22" i="13"/>
  <c r="H25" i="13"/>
  <c r="C25" i="13"/>
  <c r="J651" i="1"/>
  <c r="H571" i="1"/>
  <c r="L560" i="1"/>
  <c r="L571" i="1" s="1"/>
  <c r="H338" i="1"/>
  <c r="H352" i="1" s="1"/>
  <c r="F338" i="1"/>
  <c r="F352" i="1" s="1"/>
  <c r="G192" i="1"/>
  <c r="H192" i="1"/>
  <c r="H193" i="1" s="1"/>
  <c r="G629" i="1" s="1"/>
  <c r="J629" i="1" s="1"/>
  <c r="E128" i="2"/>
  <c r="C35" i="10"/>
  <c r="L309" i="1"/>
  <c r="L338" i="1" s="1"/>
  <c r="D5" i="13"/>
  <c r="C5" i="13" s="1"/>
  <c r="E16" i="13"/>
  <c r="E33" i="13" s="1"/>
  <c r="D35" i="13" s="1"/>
  <c r="J655" i="1"/>
  <c r="J645" i="1"/>
  <c r="L570" i="1"/>
  <c r="I571" i="1"/>
  <c r="I545" i="1"/>
  <c r="G36" i="2"/>
  <c r="L565" i="1"/>
  <c r="C22" i="13"/>
  <c r="C16" i="13"/>
  <c r="H33" i="13"/>
  <c r="L337" i="1"/>
  <c r="F62" i="2"/>
  <c r="F63" i="2"/>
  <c r="F104" i="2" s="1"/>
  <c r="C23" i="10"/>
  <c r="G163" i="2"/>
  <c r="G162" i="2"/>
  <c r="G160" i="2"/>
  <c r="G159" i="2"/>
  <c r="G158" i="2"/>
  <c r="G103" i="2"/>
  <c r="F103" i="2"/>
  <c r="C103" i="2"/>
  <c r="F91" i="2"/>
  <c r="E50" i="2"/>
  <c r="E51" i="2"/>
  <c r="C50" i="2"/>
  <c r="F31" i="2"/>
  <c r="C31" i="2"/>
  <c r="E18" i="2"/>
  <c r="F50" i="2"/>
  <c r="F51" i="2"/>
  <c r="C24" i="10"/>
  <c r="G31" i="13"/>
  <c r="G33" i="13" s="1"/>
  <c r="I338" i="1"/>
  <c r="I352" i="1"/>
  <c r="J650" i="1"/>
  <c r="L407" i="1"/>
  <c r="C140" i="2" s="1"/>
  <c r="I192" i="1"/>
  <c r="I193" i="1" s="1"/>
  <c r="G630" i="1" s="1"/>
  <c r="J630" i="1" s="1"/>
  <c r="E91" i="2"/>
  <c r="D51" i="2"/>
  <c r="J654" i="1"/>
  <c r="J653" i="1"/>
  <c r="J434" i="1"/>
  <c r="F434" i="1"/>
  <c r="K434" i="1"/>
  <c r="G134" i="2"/>
  <c r="G144" i="2"/>
  <c r="G145" i="2" s="1"/>
  <c r="F31" i="13"/>
  <c r="G169" i="1"/>
  <c r="C39" i="10" s="1"/>
  <c r="G140" i="1"/>
  <c r="F140" i="1"/>
  <c r="C38" i="10" s="1"/>
  <c r="J618" i="1"/>
  <c r="C5" i="10"/>
  <c r="G42" i="2"/>
  <c r="J51" i="1"/>
  <c r="G16" i="2"/>
  <c r="F33" i="13"/>
  <c r="H434" i="1"/>
  <c r="J620" i="1"/>
  <c r="J619" i="1"/>
  <c r="D103" i="2"/>
  <c r="D104" i="2" s="1"/>
  <c r="I140" i="1"/>
  <c r="A22" i="12"/>
  <c r="G50" i="2"/>
  <c r="J652" i="1"/>
  <c r="G571" i="1"/>
  <c r="I434" i="1"/>
  <c r="G434" i="1"/>
  <c r="E104" i="2"/>
  <c r="C27" i="10"/>
  <c r="G635" i="1"/>
  <c r="J635" i="1"/>
  <c r="C51" i="2"/>
  <c r="G193" i="1"/>
  <c r="G628" i="1" s="1"/>
  <c r="J628" i="1" s="1"/>
  <c r="G626" i="1"/>
  <c r="J626" i="1" s="1"/>
  <c r="K551" i="1" l="1"/>
  <c r="H545" i="1"/>
  <c r="I663" i="1"/>
  <c r="C141" i="2"/>
  <c r="C144" i="2" s="1"/>
  <c r="L352" i="1"/>
  <c r="G633" i="1" s="1"/>
  <c r="J633" i="1" s="1"/>
  <c r="J617" i="1"/>
  <c r="C161" i="2"/>
  <c r="K500" i="1"/>
  <c r="G550" i="1"/>
  <c r="L529" i="1"/>
  <c r="G56" i="2"/>
  <c r="G63" i="2" s="1"/>
  <c r="G104" i="2" s="1"/>
  <c r="J112" i="1"/>
  <c r="J193" i="1" s="1"/>
  <c r="C32" i="10"/>
  <c r="L351" i="1"/>
  <c r="E131" i="2"/>
  <c r="E144" i="2" s="1"/>
  <c r="E145" i="2" s="1"/>
  <c r="C11" i="10"/>
  <c r="K338" i="1"/>
  <c r="K352" i="1" s="1"/>
  <c r="I369" i="1"/>
  <c r="H634" i="1" s="1"/>
  <c r="J634" i="1" s="1"/>
  <c r="D29" i="13"/>
  <c r="C29" i="13" s="1"/>
  <c r="C124" i="2"/>
  <c r="H647" i="1"/>
  <c r="J647" i="1" s="1"/>
  <c r="G662" i="1"/>
  <c r="I662" i="1" s="1"/>
  <c r="D15" i="13"/>
  <c r="C15" i="13" s="1"/>
  <c r="D14" i="13"/>
  <c r="C14" i="13" s="1"/>
  <c r="C20" i="10"/>
  <c r="C123" i="2"/>
  <c r="C16" i="10"/>
  <c r="C119" i="2"/>
  <c r="C118" i="2"/>
  <c r="C128" i="2" s="1"/>
  <c r="D6" i="13"/>
  <c r="C6" i="13" s="1"/>
  <c r="C15" i="10"/>
  <c r="L247" i="1"/>
  <c r="H660" i="1" s="1"/>
  <c r="H664" i="1" s="1"/>
  <c r="C13" i="10"/>
  <c r="L211" i="1"/>
  <c r="C112" i="2"/>
  <c r="C122" i="2"/>
  <c r="C19" i="10"/>
  <c r="L408" i="1"/>
  <c r="G660" i="1"/>
  <c r="G664" i="1" s="1"/>
  <c r="J571" i="1"/>
  <c r="F571" i="1"/>
  <c r="J625" i="1"/>
  <c r="G161" i="2"/>
  <c r="G156" i="2"/>
  <c r="D18" i="2"/>
  <c r="H549" i="1"/>
  <c r="H552" i="1" s="1"/>
  <c r="L534" i="1"/>
  <c r="D31" i="13"/>
  <c r="C31" i="13" s="1"/>
  <c r="J545" i="1"/>
  <c r="L256" i="1"/>
  <c r="J257" i="1"/>
  <c r="F257" i="1"/>
  <c r="F271" i="1" s="1"/>
  <c r="C78" i="2"/>
  <c r="C81" i="2" s="1"/>
  <c r="J22" i="1"/>
  <c r="I452" i="1"/>
  <c r="I461" i="1" s="1"/>
  <c r="H642" i="1" s="1"/>
  <c r="F552" i="1"/>
  <c r="C29" i="10"/>
  <c r="F130" i="2"/>
  <c r="F144" i="2" s="1"/>
  <c r="F145" i="2" s="1"/>
  <c r="C21" i="10"/>
  <c r="C56" i="2"/>
  <c r="C63" i="2" s="1"/>
  <c r="C104" i="2" s="1"/>
  <c r="F112" i="1"/>
  <c r="J641" i="1"/>
  <c r="J623" i="1"/>
  <c r="J640" i="1"/>
  <c r="L427" i="1"/>
  <c r="L419" i="1"/>
  <c r="L434" i="1" s="1"/>
  <c r="G638" i="1" s="1"/>
  <c r="J638" i="1" s="1"/>
  <c r="K257" i="1"/>
  <c r="K271" i="1" s="1"/>
  <c r="G257" i="1"/>
  <c r="G271" i="1" s="1"/>
  <c r="C115" i="2"/>
  <c r="J13" i="1"/>
  <c r="I446" i="1"/>
  <c r="G642" i="1" s="1"/>
  <c r="C18" i="2"/>
  <c r="L545" i="1" l="1"/>
  <c r="G12" i="2"/>
  <c r="G18" i="2" s="1"/>
  <c r="J19" i="1"/>
  <c r="G621" i="1" s="1"/>
  <c r="C145" i="2"/>
  <c r="C36" i="10"/>
  <c r="F193" i="1"/>
  <c r="G627" i="1" s="1"/>
  <c r="J627" i="1" s="1"/>
  <c r="J32" i="1"/>
  <c r="J52" i="1" s="1"/>
  <c r="H621" i="1" s="1"/>
  <c r="G21" i="2"/>
  <c r="G31" i="2" s="1"/>
  <c r="G51" i="2" s="1"/>
  <c r="G672" i="1"/>
  <c r="G667" i="1"/>
  <c r="H667" i="1"/>
  <c r="H672" i="1"/>
  <c r="C6" i="10" s="1"/>
  <c r="C28" i="10"/>
  <c r="G646" i="1"/>
  <c r="G631" i="1"/>
  <c r="J631" i="1" s="1"/>
  <c r="J271" i="1"/>
  <c r="H648" i="1"/>
  <c r="J648" i="1" s="1"/>
  <c r="G637" i="1"/>
  <c r="J637" i="1" s="1"/>
  <c r="H646" i="1"/>
  <c r="D15" i="10"/>
  <c r="G552" i="1"/>
  <c r="K550" i="1"/>
  <c r="J642" i="1"/>
  <c r="K549" i="1"/>
  <c r="D33" i="13"/>
  <c r="D36" i="13" s="1"/>
  <c r="F660" i="1"/>
  <c r="L257" i="1"/>
  <c r="L271" i="1" s="1"/>
  <c r="G632" i="1" s="1"/>
  <c r="J632" i="1" s="1"/>
  <c r="K552" i="1" l="1"/>
  <c r="D25" i="10"/>
  <c r="D24" i="10"/>
  <c r="D17" i="10"/>
  <c r="D23" i="10"/>
  <c r="C30" i="10"/>
  <c r="D26" i="10"/>
  <c r="D10" i="10"/>
  <c r="D12" i="10"/>
  <c r="D18" i="10"/>
  <c r="D22" i="10"/>
  <c r="D27" i="10"/>
  <c r="C41" i="10"/>
  <c r="D21" i="10"/>
  <c r="D19" i="10"/>
  <c r="F664" i="1"/>
  <c r="I660" i="1"/>
  <c r="I664" i="1" s="1"/>
  <c r="D16" i="10"/>
  <c r="D20" i="10"/>
  <c r="J646" i="1"/>
  <c r="D13" i="10"/>
  <c r="D11" i="10"/>
  <c r="H656" i="1"/>
  <c r="J621" i="1"/>
  <c r="D28" i="10" l="1"/>
  <c r="F672" i="1"/>
  <c r="C4" i="10" s="1"/>
  <c r="F667" i="1"/>
  <c r="D37" i="10"/>
  <c r="D40" i="10"/>
  <c r="D35" i="10"/>
  <c r="D38" i="10"/>
  <c r="D39" i="10"/>
  <c r="I672" i="1"/>
  <c r="C7" i="10" s="1"/>
  <c r="I667" i="1"/>
  <c r="D36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<sst xmlns="http://schemas.openxmlformats.org/spreadsheetml/2006/main" count="3957" uniqueCount="913">
  <si>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</si>
  <si>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</si>
  <si>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</si>
  <si>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</si>
  <si>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</si>
  <si>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</si>
  <si>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</si>
  <si>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</si>
  <si>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</si>
  <si>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</si>
  <si>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</si>
  <si>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</si>
  <si>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</si>
  <si>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</si>
  <si>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</si>
  <si>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</si>
  <si>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</si>
  <si>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</si>
  <si>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</si>
  <si>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</si>
  <si>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</si>
  <si>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</si>
  <si>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</si>
  <si>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</si>
  <si>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</si>
  <si>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</si>
  <si>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</si>
  <si>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</si>
  <si>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</si>
  <si>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</si>
  <si>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</si>
  <si>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</si>
  <si>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</si>
  <si>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</si>
  <si>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</si>
  <si>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</si>
  <si>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</si>
  <si>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</si>
  <si>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</si>
  <si>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</si>
  <si>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</si>
  <si>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</si>
  <si>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</si>
  <si>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</si>
  <si>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</si>
  <si>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</si>
  <si>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</si>
  <si>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</si>
  <si>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</si>
  <si>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</si>
  <si>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</si>
  <si>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</si>
  <si>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</si>
  <si>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</si>
  <si>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</si>
  <si>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</si>
  <si>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</si>
  <si>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</si>
  <si>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</si>
  <si>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</si>
  <si>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</si>
  <si>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</si>
  <si>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</si>
  <si>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</si>
  <si>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</si>
  <si>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</si>
  <si>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</si>
  <si>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</si>
  <si>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</si>
  <si>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</si>
  <si>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</si>
  <si>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</si>
  <si>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</si>
  <si>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</si>
  <si>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</si>
  <si>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</si>
  <si>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</si>
  <si>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</si>
  <si>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</si>
  <si>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</si>
  <si>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</si>
  <si>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</si>
  <si>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</si>
  <si>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</si>
  <si>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</si>
  <si>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</si>
  <si>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</si>
  <si>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</si>
  <si>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</si>
  <si>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</si>
  <si>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</si>
  <si>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</si>
  <si>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</si>
  <si>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</si>
  <si>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</si>
  <si>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</si>
  <si>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</si>
  <si>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</si>
  <si>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</si>
  <si>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</si>
  <si>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</si>
  <si>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</si>
  <si>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</si>
  <si>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</si>
  <si>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</si>
  <si>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</si>
  <si>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</si>
  <si>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</si>
  <si>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</si>
  <si>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</si>
  <si>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</si>
  <si>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</si>
  <si>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</si>
  <si>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</si>
  <si>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</si>
  <si>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</si>
  <si>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</si>
  <si>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</si>
  <si>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</si>
  <si>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</si>
  <si>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</si>
  <si>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</si>
  <si>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</si>
  <si>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</si>
  <si>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</si>
  <si>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</si>
  <si>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</si>
  <si>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</si>
  <si>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</si>
  <si>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</si>
  <si>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</si>
  <si>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</si>
  <si>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</si>
  <si>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</si>
  <si>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</si>
  <si>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</si>
  <si>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</si>
  <si>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</si>
  <si>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</si>
  <si>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</si>
  <si>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</si>
  <si>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</si>
  <si>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</si>
  <si>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</si>
  <si>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</si>
  <si>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</si>
  <si>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</si>
  <si>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</si>
  <si>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</si>
  <si>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</si>
  <si>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</si>
  <si>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</si>
  <si>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</si>
  <si>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</si>
  <si>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</si>
  <si>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</si>
  <si>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</si>
  <si>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</si>
  <si>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</si>
  <si>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</si>
  <si>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</si>
  <si>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</si>
  <si>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</si>
  <si>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</si>
  <si>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</si>
  <si>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</si>
  <si>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</si>
  <si>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</si>
  <si>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</si>
  <si>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</si>
  <si>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</si>
  <si>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</si>
  <si>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</si>
  <si>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</si>
  <si>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</si>
  <si>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</si>
  <si>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</si>
  <si>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</si>
  <si>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</si>
  <si>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</si>
  <si>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</si>
  <si>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</si>
  <si>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</si>
  <si>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</si>
  <si>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</si>
  <si>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</si>
  <si>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</si>
  <si>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</si>
  <si>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</si>
  <si>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</si>
  <si>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</si>
  <si>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</si>
  <si>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</si>
  <si>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</si>
  <si>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</si>
  <si>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</si>
  <si>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</si>
  <si>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</si>
  <si>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</si>
  <si>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</si>
  <si>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</si>
  <si>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</si>
  <si>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</si>
  <si>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</si>
  <si>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</si>
  <si>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</si>
  <si>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</si>
  <si>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</si>
  <si>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</si>
  <si>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</si>
  <si>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</si>
  <si>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</si>
  <si>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</si>
  <si>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</si>
  <si>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</si>
  <si>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</si>
  <si>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</si>
  <si>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</si>
  <si>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</si>
  <si>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</si>
  <si>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</si>
  <si>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</si>
  <si>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</si>
  <si>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</si>
  <si>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</si>
  <si>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</si>
  <si>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</si>
  <si>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</si>
  <si>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</si>
  <si>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</si>
  <si>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</si>
  <si>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</si>
  <si>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</si>
  <si>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</si>
  <si>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</si>
  <si>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</si>
  <si>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</si>
  <si>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</si>
  <si>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</si>
  <si>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</si>
  <si>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</si>
  <si>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</si>
  <si>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</si>
  <si>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</si>
  <si>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</si>
  <si>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</si>
  <si>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</si>
  <si>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</si>
  <si>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</si>
  <si>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</si>
  <si>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</si>
  <si>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</si>
  <si>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</si>
  <si>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</si>
  <si>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</si>
  <si>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</si>
  <si>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</si>
  <si>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</si>
  <si>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</si>
  <si>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</si>
  <si>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</si>
  <si>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</si>
  <si>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</si>
  <si>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</si>
  <si>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</si>
  <si>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</si>
  <si>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</si>
  <si>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</si>
  <si>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</si>
  <si>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</si>
  <si>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</si>
  <si>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</si>
  <si>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</si>
  <si>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</si>
  <si>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</si>
  <si>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</si>
  <si>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</si>
  <si>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</si>
  <si>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</si>
  <si>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</si>
  <si>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</si>
  <si>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</si>
  <si>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</si>
  <si>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</si>
  <si>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</si>
  <si>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</si>
  <si>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</si>
  <si>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</si>
  <si>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</si>
  <si>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</si>
  <si>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</si>
  <si>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</si>
  <si>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</si>
  <si>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</si>
  <si>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</si>
  <si>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</si>
  <si>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</si>
  <si>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</si>
  <si>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</si>
  <si>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</si>
  <si>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</si>
  <si>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</si>
  <si>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</si>
  <si>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</si>
  <si>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</si>
  <si>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</si>
  <si>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</si>
  <si>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</si>
  <si>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</si>
  <si>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</si>
  <si>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</si>
  <si>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</si>
  <si>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</si>
  <si>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</si>
  <si>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</si>
  <si>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</si>
  <si>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</si>
  <si>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</si>
  <si>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</si>
  <si>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</si>
  <si>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</si>
  <si>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</si>
  <si>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</si>
  <si>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</si>
  <si>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</si>
  <si>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</si>
  <si>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</si>
  <si>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</si>
  <si>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</si>
  <si>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</si>
  <si>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</si>
  <si>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</si>
  <si>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</si>
  <si>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</si>
  <si>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</si>
  <si>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</si>
  <si>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</si>
  <si>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</si>
  <si>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</si>
  <si>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</si>
  <si>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</si>
  <si>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</si>
  <si>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</si>
  <si>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</si>
  <si>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</si>
  <si>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</si>
  <si>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</si>
  <si>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</si>
  <si>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</si>
  <si>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</si>
  <si>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</si>
  <si>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</si>
  <si>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</si>
  <si>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</si>
  <si>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</si>
  <si>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</si>
  <si>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</si>
  <si>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</si>
  <si>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</si>
  <si>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</si>
  <si>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</si>
  <si>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</si>
  <si>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</si>
  <si>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</si>
  <si>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</si>
  <si>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</si>
  <si>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</si>
  <si>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</si>
  <si>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</si>
  <si>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</si>
  <si>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</si>
  <si>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</si>
  <si>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</si>
  <si>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</si>
  <si>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</si>
  <si>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</si>
  <si>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</si>
  <si>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</si>
  <si>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</si>
  <si>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</si>
  <si>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</si>
  <si>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</si>
  <si>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</si>
  <si>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</si>
  <si>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</si>
  <si>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</si>
  <si>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</si>
  <si>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</si>
  <si>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</si>
  <si>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</si>
  <si>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</si>
  <si>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</si>
  <si>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</si>
  <si>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</si>
  <si>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</si>
  <si>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</si>
  <si>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</si>
  <si>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</si>
  <si>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</si>
  <si>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</si>
  <si>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</si>
  <si>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</si>
  <si>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</si>
  <si>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</si>
  <si>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</si>
  <si>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</si>
  <si>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</si>
  <si>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</si>
  <si>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</si>
  <si>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</si>
  <si>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</si>
  <si>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</si>
  <si>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</si>
  <si>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</si>
  <si>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</si>
  <si>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</si>
  <si>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</si>
  <si>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</si>
  <si>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</si>
  <si>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</si>
  <si>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</si>
  <si>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</si>
  <si>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</si>
  <si>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</si>
  <si>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</si>
  <si>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</si>
  <si>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</si>
  <si>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</si>
  <si>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</si>
  <si>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</si>
  <si>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</si>
  <si>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</si>
  <si>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</si>
  <si>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</si>
  <si>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</si>
  <si>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</si>
  <si>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</si>
  <si>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</si>
  <si>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</si>
  <si>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</si>
  <si>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</si>
  <si>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</si>
  <si>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</si>
  <si>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</si>
  <si>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</si>
  <si>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</si>
  <si>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</si>
  <si>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</si>
  <si>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</si>
  <si>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</si>
  <si>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</si>
  <si>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</si>
  <si>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</si>
  <si>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</si>
  <si>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</si>
  <si>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</si>
  <si>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</si>
  <si>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</si>
  <si>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</si>
  <si>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</si>
  <si>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</si>
  <si>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</si>
  <si>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</si>
  <si>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</si>
  <si>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</si>
  <si>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</si>
  <si>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</si>
  <si>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</si>
  <si>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</si>
  <si>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</si>
  <si>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</si>
  <si>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</si>
  <si>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</si>
  <si>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</si>
  <si>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</si>
  <si>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</si>
  <si>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</si>
  <si>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</si>
  <si>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</si>
  <si>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</si>
  <si>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</si>
  <si>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</si>
  <si>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</si>
  <si>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</si>
  <si>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</si>
  <si>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</si>
  <si>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</si>
  <si>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</si>
  <si>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</si>
  <si>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</si>
  <si>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</si>
  <si>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</si>
  <si>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</si>
  <si>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</si>
  <si>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</si>
  <si>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</si>
  <si>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</si>
  <si>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</si>
  <si>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</si>
  <si>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</si>
  <si>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</si>
  <si>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</si>
  <si>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</si>
  <si>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</si>
  <si>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</si>
  <si>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</si>
  <si>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</si>
  <si>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</si>
  <si>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</si>
  <si>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</si>
  <si>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</si>
  <si>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</si>
  <si>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</si>
  <si>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</si>
  <si>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</si>
  <si>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</si>
  <si>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</si>
  <si>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</si>
  <si>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</si>
  <si>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</si>
  <si>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</si>
  <si>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</si>
  <si>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</si>
  <si>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</si>
  <si>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</si>
  <si>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</si>
  <si>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</si>
  <si>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</si>
  <si>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</si>
  <si>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</si>
  <si>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</si>
  <si>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</si>
  <si>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</si>
  <si>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</si>
  <si>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</si>
  <si>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</si>
  <si>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</si>
  <si>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</si>
  <si>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</si>
  <si>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</si>
  <si>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</si>
  <si>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</si>
  <si>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</si>
  <si>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</si>
  <si>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</si>
  <si>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</si>
  <si>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</si>
  <si>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</si>
  <si>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</si>
  <si>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</si>
  <si>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</si>
  <si>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</si>
  <si>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</si>
  <si>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</si>
  <si>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</si>
  <si>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</si>
  <si>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</si>
  <si>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</si>
  <si>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</si>
  <si>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</si>
  <si>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</si>
  <si>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</si>
  <si>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</si>
  <si>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</si>
  <si>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</si>
  <si>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</si>
  <si>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</si>
  <si>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</si>
  <si>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</si>
  <si>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</si>
  <si>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</si>
  <si>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</si>
  <si>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</si>
  <si>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</si>
  <si>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</si>
  <si>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</si>
  <si>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</si>
  <si>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</si>
  <si>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</si>
  <si>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</si>
  <si>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</si>
  <si>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</si>
  <si>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</si>
  <si>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</si>
  <si>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</si>
  <si>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</si>
  <si>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</si>
  <si>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</si>
  <si>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</si>
  <si>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</si>
  <si>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</si>
  <si>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</si>
  <si>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</si>
  <si>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</si>
  <si>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</si>
  <si>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</si>
  <si>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</si>
  <si>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</si>
  <si>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</si>
  <si>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</si>
  <si>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</si>
  <si>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</si>
  <si>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</si>
  <si>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</si>
  <si>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</si>
  <si>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</si>
  <si>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</si>
  <si>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</si>
  <si>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</si>
  <si>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</si>
  <si>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</si>
  <si>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</si>
  <si>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</si>
  <si>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</si>
  <si>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</si>
  <si>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</si>
  <si>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</si>
  <si>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</si>
  <si>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</si>
  <si>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</si>
  <si>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</si>
  <si>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</si>
  <si>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</si>
  <si>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</si>
  <si>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</si>
  <si>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</si>
  <si>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</si>
  <si>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</si>
  <si>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</si>
  <si>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</si>
  <si>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</si>
  <si>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</si>
  <si>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</si>
  <si>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</si>
  <si>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</si>
  <si>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</si>
  <si>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</si>
  <si>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</si>
  <si>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</si>
  <si>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</si>
  <si>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</si>
  <si>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</si>
  <si>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</si>
  <si>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</si>
  <si>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</si>
  <si>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</si>
  <si>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</si>
  <si>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</si>
  <si>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</si>
  <si>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</si>
  <si>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</si>
  <si>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</si>
  <si>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</si>
  <si>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</si>
  <si>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</si>
  <si>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</si>
  <si>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</si>
  <si>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</si>
  <si>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</si>
  <si>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</si>
  <si>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</si>
  <si>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</si>
  <si>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</si>
  <si>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</si>
  <si>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</si>
  <si>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</si>
  <si>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</si>
  <si>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</si>
  <si>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</si>
  <si>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</si>
  <si>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</si>
  <si>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</si>
  <si>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</si>
  <si>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</si>
  <si>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</si>
  <si>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</si>
  <si>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</si>
  <si>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</si>
  <si>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</si>
  <si>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</si>
  <si>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</si>
  <si>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</si>
  <si>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</si>
  <si>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</si>
  <si>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</si>
  <si>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</si>
  <si>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</si>
  <si>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</si>
  <si>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</si>
  <si>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</si>
  <si>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</si>
  <si>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</si>
  <si>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</si>
  <si>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</si>
  <si>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</si>
  <si>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</si>
  <si>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</si>
  <si>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</si>
  <si>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</si>
  <si>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</si>
  <si>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</si>
  <si>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</si>
  <si>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</si>
  <si>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</si>
  <si>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</si>
  <si>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</si>
  <si>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</si>
  <si>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</si>
  <si>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</si>
  <si>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</si>
  <si>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</si>
  <si>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</si>
  <si>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</si>
  <si>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</si>
  <si>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</si>
  <si>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</si>
  <si>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</si>
  <si>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</si>
  <si>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</si>
  <si>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</si>
  <si>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</si>
  <si>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</si>
  <si>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</si>
  <si>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</si>
  <si>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</si>
  <si>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</si>
  <si>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</si>
  <si>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</si>
  <si>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</si>
  <si>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</si>
  <si>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</si>
  <si>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</si>
  <si>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</si>
  <si>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</si>
  <si>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</si>
  <si>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</si>
  <si>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</si>
  <si>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</si>
  <si>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</si>
  <si>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</si>
  <si>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</si>
  <si>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</si>
  <si>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</si>
  <si>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</si>
  <si>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</si>
  <si>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</si>
  <si>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</si>
  <si>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</si>
  <si>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</si>
  <si>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</si>
  <si>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</si>
  <si>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</si>
  <si>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</si>
  <si>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</si>
  <si>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</si>
  <si>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</si>
  <si>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</si>
  <si>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</si>
  <si>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</si>
  <si>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</si>
  <si>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</si>
  <si>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</si>
  <si>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</si>
  <si>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</si>
  <si>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</si>
  <si>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</si>
  <si>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</si>
  <si>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</si>
  <si>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</si>
  <si>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</si>
  <si>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</si>
  <si>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</si>
  <si>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</si>
  <si>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</si>
  <si>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</si>
  <si>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</si>
  <si>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</si>
  <si>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</si>
  <si>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</si>
  <si>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</si>
  <si>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</si>
  <si>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</si>
  <si>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</si>
  <si>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</si>
  <si>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</si>
  <si>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</si>
  <si>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</si>
  <si>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</si>
  <si>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</si>
  <si>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</si>
  <si>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</si>
  <si>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</si>
  <si>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</si>
  <si>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</si>
  <si>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</si>
  <si>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</si>
  <si>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</si>
  <si>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</si>
  <si>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</si>
  <si>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</si>
  <si>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</si>
  <si>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</si>
  <si>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</si>
  <si>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</si>
  <si>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</si>
  <si>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</si>
  <si>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</si>
  <si>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</si>
  <si>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</si>
  <si>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</si>
  <si>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</si>
  <si>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</si>
  <si>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</si>
  <si>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</si>
  <si>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</si>
  <si>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</si>
  <si>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</si>
  <si>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</si>
  <si>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</si>
  <si>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</si>
  <si>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</si>
  <si>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</si>
  <si>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</si>
  <si>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</si>
  <si>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</si>
  <si>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</si>
  <si>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</si>
  <si>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</si>
  <si>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</si>
  <si>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</si>
  <si>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</si>
  <si>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</si>
  <si>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</si>
  <si>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</si>
  <si>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</si>
  <si>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</si>
  <si>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</si>
  <si>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</si>
  <si>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</si>
  <si>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</si>
  <si>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</si>
  <si>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</si>
  <si>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</si>
  <si>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</si>
  <si>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</si>
  <si>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</si>
  <si>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</si>
  <si>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</si>
  <si>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</si>
  <si>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</si>
  <si>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</si>
  <si>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</si>
  <si>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</si>
  <si>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</si>
  <si>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</si>
  <si>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</si>
  <si>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</si>
  <si>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</si>
  <si>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</si>
  <si>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</si>
  <si>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</si>
  <si>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</si>
  <si>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</si>
  <si>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</si>
  <si>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</si>
  <si>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</si>
  <si>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</si>
  <si>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</si>
  <si>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</si>
  <si>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</si>
  <si>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</si>
  <si>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</si>
  <si>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</si>
  <si>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</si>
  <si>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</si>
  <si>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</si>
  <si>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</si>
  <si>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</si>
  <si>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</si>
  <si>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</si>
  <si>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</si>
  <si>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</si>
  <si>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</si>
  <si>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</si>
  <si>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</si>
  <si>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</si>
  <si>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</si>
  <si>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</si>
  <si>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</si>
  <si>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</si>
  <si>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</si>
  <si>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</si>
  <si>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</si>
  <si>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</si>
  <si>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</si>
  <si>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</si>
  <si>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</si>
  <si>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</si>
  <si>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</si>
  <si>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</si>
  <si>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</si>
  <si>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</si>
  <si>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</si>
  <si>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</si>
  <si>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</si>
  <si>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</si>
  <si>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</si>
  <si>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</si>
  <si>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</si>
  <si>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</si>
  <si>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</si>
  <si>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</si>
  <si>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Fall Mountain Regional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</si>
</sst>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174</v>
      </c>
      <c r="C2" s="21">
        <v>0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2697760.18</v>
      </c>
      <c r="G9" s="18"/>
      <c r="H9" s="18">
        <v>61920.160000000003</v>
      </c>
      <c r="I9" s="18"/>
      <c r="J9" s="67">
        <f>SUM(I439)</f>
        <v>0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2559435.5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/>
      <c r="G12" s="18"/>
      <c r="H12" s="18">
        <v>17955</v>
      </c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159498.09</v>
      </c>
      <c r="G13" s="18"/>
      <c r="H13" s="18"/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13779.27</v>
      </c>
      <c r="G14" s="18"/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/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>
        <v>216861.67</v>
      </c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>
        <v>279981</v>
      </c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3367880.21</v>
      </c>
      <c r="G19" s="41">
        <f>SUM(G9:G18)</f>
        <v>0</v>
      </c>
      <c r="H19" s="41">
        <f>SUM(H9:H18)</f>
        <v>79875.16</v>
      </c>
      <c r="I19" s="41">
        <f>SUM(I9:I18)</f>
        <v>0</v>
      </c>
      <c r="J19" s="41">
        <f>SUM(J9:J18)</f>
        <v>2559435.5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>
        <v>48489.59</v>
      </c>
      <c r="G22" s="18"/>
      <c r="H22" s="18"/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1006634.68</v>
      </c>
      <c r="G24" s="18"/>
      <c r="H24" s="18"/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>
        <v>4470.78</v>
      </c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>
        <v>1612153.12</v>
      </c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>
        <v>433225.73</v>
      </c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/>
      <c r="G30" s="18"/>
      <c r="H30" s="18"/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3104973.9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>
        <v>262906.31</v>
      </c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/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/>
      <c r="H48" s="18">
        <v>79875.16</v>
      </c>
      <c r="I48" s="18"/>
      <c r="J48" s="13">
        <f>SUM(I459)</f>
        <v>2559435.5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0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262906.31</v>
      </c>
      <c r="G51" s="41">
        <f>SUM(G35:G50)</f>
        <v>0</v>
      </c>
      <c r="H51" s="41">
        <f>SUM(H35:H50)</f>
        <v>79875.16</v>
      </c>
      <c r="I51" s="41">
        <f>SUM(I35:I50)</f>
        <v>0</v>
      </c>
      <c r="J51" s="41">
        <f>SUM(J35:J50)</f>
        <v>2559435.5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3367880.21</v>
      </c>
      <c r="G52" s="41">
        <f>G51+G32</f>
        <v>0</v>
      </c>
      <c r="H52" s="41">
        <f>H51+H32</f>
        <v>79875.16</v>
      </c>
      <c r="I52" s="41">
        <f>I51+I32</f>
        <v>0</v>
      </c>
      <c r="J52" s="41">
        <f>J51+J32</f>
        <v>2559435.5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16738094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16738094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/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>
        <v>645797.93999999994</v>
      </c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>
        <v>854.03</v>
      </c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>
        <v>1562.75</v>
      </c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648214.72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39639.97</v>
      </c>
      <c r="G96" s="18"/>
      <c r="H96" s="18"/>
      <c r="I96" s="18"/>
      <c r="J96" s="18">
        <v>31397.3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189220.02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/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/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/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22457.77</v>
      </c>
      <c r="G110" s="18"/>
      <c r="H110" s="18">
        <v>18944.419999999998</v>
      </c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62097.740000000005</v>
      </c>
      <c r="G111" s="41">
        <f>SUM(G96:G110)</f>
        <v>189220.02</v>
      </c>
      <c r="H111" s="41">
        <f>SUM(H96:H110)</f>
        <v>18944.419999999998</v>
      </c>
      <c r="I111" s="41">
        <f>SUM(I96:I110)</f>
        <v>0</v>
      </c>
      <c r="J111" s="41">
        <f>SUM(J96:J110)</f>
        <v>31397.3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17448406.459999997</v>
      </c>
      <c r="G112" s="41">
        <f>G60+G111</f>
        <v>189220.02</v>
      </c>
      <c r="H112" s="41">
        <f>H60+H79+H94+H111</f>
        <v>18944.419999999998</v>
      </c>
      <c r="I112" s="41">
        <f>I60+I111</f>
        <v>0</v>
      </c>
      <c r="J112" s="41">
        <f>J60+J111</f>
        <v>31397.3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7997843.8799999999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2140766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19381.48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10157991.359999999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>
        <v>57038.48</v>
      </c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126681.98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>
        <v>72511.73</v>
      </c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>
        <v>17209.2</v>
      </c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>
        <v>6500</v>
      </c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10106.61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273441.39</v>
      </c>
      <c r="G136" s="41">
        <f>SUM(G123:G135)</f>
        <v>10106.61</v>
      </c>
      <c r="H136" s="41">
        <f>SUM(H123:H135)</f>
        <v>6500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10431432.75</v>
      </c>
      <c r="G140" s="41">
        <f>G121+SUM(G136:G137)</f>
        <v>10106.61</v>
      </c>
      <c r="H140" s="41">
        <f>H121+SUM(H136:H139)</f>
        <v>6500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464554.97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117377.82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>
        <v>47748.98</v>
      </c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465956.02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>
        <v>514258.07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294347.82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>
        <v>49440</v>
      </c>
      <c r="G161" s="18"/>
      <c r="H161" s="18">
        <v>1417.88</v>
      </c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343787.82</v>
      </c>
      <c r="G162" s="41">
        <f>SUM(G150:G161)</f>
        <v>465956.02</v>
      </c>
      <c r="H162" s="41">
        <f>SUM(H150:H161)</f>
        <v>1145357.72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>
        <v>16000</v>
      </c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343787.82</v>
      </c>
      <c r="G169" s="41">
        <f>G147+G162+SUM(G163:G168)</f>
        <v>465956.02</v>
      </c>
      <c r="H169" s="41">
        <f>H147+H162+SUM(H163:H168)</f>
        <v>1161357.72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210193.67</v>
      </c>
      <c r="H179" s="18"/>
      <c r="I179" s="18"/>
      <c r="J179" s="18">
        <v>500000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210193.67</v>
      </c>
      <c r="H183" s="41">
        <f>SUM(H179:H182)</f>
        <v>0</v>
      </c>
      <c r="I183" s="41">
        <f>SUM(I179:I182)</f>
        <v>0</v>
      </c>
      <c r="J183" s="41">
        <f>SUM(J179:J182)</f>
        <v>500000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>
        <v>354615</v>
      </c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354615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354615</v>
      </c>
      <c r="G192" s="41">
        <f>G183+SUM(G188:G191)</f>
        <v>210193.67</v>
      </c>
      <c r="H192" s="41">
        <f>+H183+SUM(H188:H191)</f>
        <v>0</v>
      </c>
      <c r="I192" s="41">
        <f>I177+I183+SUM(I188:I191)</f>
        <v>0</v>
      </c>
      <c r="J192" s="41">
        <f>J183</f>
        <v>500000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28578242.029999997</v>
      </c>
      <c r="G193" s="47">
        <f>G112+G140+G169+G192</f>
        <v>875476.32000000007</v>
      </c>
      <c r="H193" s="47">
        <f>H112+H140+H169+H192</f>
        <v>1186802.1399999999</v>
      </c>
      <c r="I193" s="47">
        <f>I112+I140+I169+I192</f>
        <v>0</v>
      </c>
      <c r="J193" s="47">
        <f>J112+J140+J192</f>
        <v>531397.30000000005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4820015.78</v>
      </c>
      <c r="G197" s="18">
        <v>2447848.19</v>
      </c>
      <c r="H197" s="18">
        <v>44584.35</v>
      </c>
      <c r="I197" s="18">
        <v>175419.78</v>
      </c>
      <c r="J197" s="18">
        <v>113874.99</v>
      </c>
      <c r="K197" s="18">
        <v>2793.53</v>
      </c>
      <c r="L197" s="19">
        <f>SUM(F197:K197)</f>
        <v>7604536.620000001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2901998.04</v>
      </c>
      <c r="G198" s="18">
        <v>1050105.6200000001</v>
      </c>
      <c r="H198" s="18">
        <v>760097.28000000003</v>
      </c>
      <c r="I198" s="18">
        <v>27274</v>
      </c>
      <c r="J198" s="18">
        <v>3061.85</v>
      </c>
      <c r="K198" s="18">
        <v>876.67</v>
      </c>
      <c r="L198" s="19">
        <f>SUM(F198:K198)</f>
        <v>4743413.46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70344</v>
      </c>
      <c r="G200" s="18">
        <v>29466.67</v>
      </c>
      <c r="H200" s="18">
        <v>26379.1</v>
      </c>
      <c r="I200" s="18">
        <v>9881.39</v>
      </c>
      <c r="J200" s="18">
        <v>17029.52</v>
      </c>
      <c r="K200" s="18">
        <v>25</v>
      </c>
      <c r="L200" s="19">
        <f>SUM(F200:K200)</f>
        <v>153125.67999999996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v>555991.16999999993</v>
      </c>
      <c r="G202" s="18">
        <v>268690.57</v>
      </c>
      <c r="H202" s="18">
        <v>3018.85</v>
      </c>
      <c r="I202" s="18">
        <v>22543.71</v>
      </c>
      <c r="J202" s="18">
        <v>4371.93</v>
      </c>
      <c r="K202" s="18">
        <v>0</v>
      </c>
      <c r="L202" s="19">
        <f t="shared" ref="L202:L208" si="0">SUM(F202:K202)</f>
        <v>854616.23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458196.06</v>
      </c>
      <c r="G203" s="18">
        <v>227890.29</v>
      </c>
      <c r="H203" s="18">
        <v>59308.740000000005</v>
      </c>
      <c r="I203" s="18">
        <v>64423.3</v>
      </c>
      <c r="J203" s="18">
        <v>1234.46</v>
      </c>
      <c r="K203" s="18">
        <v>50530.71</v>
      </c>
      <c r="L203" s="19">
        <f t="shared" si="0"/>
        <v>861583.55999999994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159460.28999999998</v>
      </c>
      <c r="G204" s="18">
        <v>78026.210000000006</v>
      </c>
      <c r="H204" s="18">
        <v>98532.83</v>
      </c>
      <c r="I204" s="18">
        <v>9951.94</v>
      </c>
      <c r="J204" s="18">
        <v>10379.77</v>
      </c>
      <c r="K204" s="18">
        <v>5249.32</v>
      </c>
      <c r="L204" s="19">
        <f t="shared" si="0"/>
        <v>361600.36000000004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749049.15</v>
      </c>
      <c r="G205" s="18">
        <v>345402.54</v>
      </c>
      <c r="H205" s="18">
        <v>53328.78</v>
      </c>
      <c r="I205" s="18">
        <v>13989.77</v>
      </c>
      <c r="J205" s="18">
        <v>6128.48</v>
      </c>
      <c r="K205" s="18">
        <v>5258.32</v>
      </c>
      <c r="L205" s="19">
        <f t="shared" si="0"/>
        <v>1173157.04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>
        <v>152017.93</v>
      </c>
      <c r="G206" s="18">
        <v>58040.29</v>
      </c>
      <c r="H206" s="18">
        <v>3050.72</v>
      </c>
      <c r="I206" s="18">
        <v>21083.599999999999</v>
      </c>
      <c r="J206" s="18">
        <v>4658.47</v>
      </c>
      <c r="K206" s="18">
        <v>1130.3499999999999</v>
      </c>
      <c r="L206" s="19">
        <f t="shared" si="0"/>
        <v>239981.36000000002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737468.32</v>
      </c>
      <c r="G207" s="18">
        <v>324323.90999999997</v>
      </c>
      <c r="H207" s="18">
        <v>450724.83</v>
      </c>
      <c r="I207" s="18">
        <v>335355.31</v>
      </c>
      <c r="J207" s="18">
        <v>5703.8</v>
      </c>
      <c r="K207" s="18">
        <v>389.09</v>
      </c>
      <c r="L207" s="19">
        <f t="shared" si="0"/>
        <v>1853965.2600000002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>
        <v>360368.74</v>
      </c>
      <c r="G208" s="18">
        <v>67453.539999999994</v>
      </c>
      <c r="H208" s="18">
        <v>306164.32</v>
      </c>
      <c r="I208" s="18">
        <v>82742.98</v>
      </c>
      <c r="J208" s="18">
        <v>2830.57</v>
      </c>
      <c r="K208" s="18">
        <v>0</v>
      </c>
      <c r="L208" s="19">
        <f t="shared" si="0"/>
        <v>819560.14999999991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10964909.48</v>
      </c>
      <c r="G211" s="41">
        <f t="shared" si="1"/>
        <v>4897247.83</v>
      </c>
      <c r="H211" s="41">
        <f t="shared" si="1"/>
        <v>1805189.8</v>
      </c>
      <c r="I211" s="41">
        <f t="shared" si="1"/>
        <v>762665.78</v>
      </c>
      <c r="J211" s="41">
        <f t="shared" si="1"/>
        <v>169273.84</v>
      </c>
      <c r="K211" s="41">
        <f t="shared" si="1"/>
        <v>66252.989999999991</v>
      </c>
      <c r="L211" s="41">
        <f t="shared" si="1"/>
        <v>18665539.720000003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>
        <v>2015930.53</v>
      </c>
      <c r="G233" s="18">
        <v>1112154.6599999999</v>
      </c>
      <c r="H233" s="18">
        <v>42488.71</v>
      </c>
      <c r="I233" s="18">
        <v>129196.25</v>
      </c>
      <c r="J233" s="18">
        <v>64336.71</v>
      </c>
      <c r="K233" s="18">
        <v>11137.28</v>
      </c>
      <c r="L233" s="19">
        <f>SUM(F233:K233)</f>
        <v>3375244.1399999997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>
        <v>1116948.08</v>
      </c>
      <c r="G234" s="18">
        <v>473283.23</v>
      </c>
      <c r="H234" s="18">
        <v>383766.49</v>
      </c>
      <c r="I234" s="18">
        <v>15829.78</v>
      </c>
      <c r="J234" s="18">
        <v>1768.54</v>
      </c>
      <c r="K234" s="18">
        <v>872.9</v>
      </c>
      <c r="L234" s="19">
        <f>SUM(F234:K234)</f>
        <v>1992469.02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>
        <v>120133</v>
      </c>
      <c r="G235" s="18">
        <v>60553.36</v>
      </c>
      <c r="H235" s="18">
        <v>138592.82</v>
      </c>
      <c r="I235" s="18">
        <v>24127.26</v>
      </c>
      <c r="J235" s="18">
        <v>3439</v>
      </c>
      <c r="K235" s="18">
        <v>205</v>
      </c>
      <c r="L235" s="19">
        <f>SUM(F235:K235)</f>
        <v>347050.44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>
        <v>183242.74</v>
      </c>
      <c r="G236" s="18">
        <v>35495.46</v>
      </c>
      <c r="H236" s="18">
        <v>34430.11</v>
      </c>
      <c r="I236" s="18">
        <v>18677.2</v>
      </c>
      <c r="J236" s="18">
        <v>12461.96</v>
      </c>
      <c r="K236" s="18">
        <v>4985</v>
      </c>
      <c r="L236" s="19">
        <f>SUM(F236:K236)</f>
        <v>289292.47000000003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>
        <v>316663.20999999996</v>
      </c>
      <c r="G238" s="18">
        <v>167962.04</v>
      </c>
      <c r="H238" s="18">
        <v>81598.209999999992</v>
      </c>
      <c r="I238" s="18">
        <v>8277.7199999999993</v>
      </c>
      <c r="J238" s="18">
        <v>2953.92</v>
      </c>
      <c r="K238" s="18">
        <v>637</v>
      </c>
      <c r="L238" s="19">
        <f t="shared" ref="L238:L244" si="4">SUM(F238:K238)</f>
        <v>578092.1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>
        <v>260152.32000000001</v>
      </c>
      <c r="G239" s="18">
        <v>116403.46</v>
      </c>
      <c r="H239" s="18">
        <v>30364.14</v>
      </c>
      <c r="I239" s="18">
        <v>28170.92</v>
      </c>
      <c r="J239" s="18">
        <v>1579</v>
      </c>
      <c r="K239" s="18">
        <v>3603.49</v>
      </c>
      <c r="L239" s="19">
        <f t="shared" si="4"/>
        <v>440273.33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>
        <v>74730.14</v>
      </c>
      <c r="G240" s="18">
        <v>38617.42</v>
      </c>
      <c r="H240" s="18">
        <v>47931.66</v>
      </c>
      <c r="I240" s="18">
        <v>4975.97</v>
      </c>
      <c r="J240" s="18">
        <v>5189.8900000000003</v>
      </c>
      <c r="K240" s="18">
        <v>2624.66</v>
      </c>
      <c r="L240" s="19">
        <f t="shared" si="4"/>
        <v>174069.74000000002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>
        <v>278652.13</v>
      </c>
      <c r="G241" s="18">
        <v>143561.89000000001</v>
      </c>
      <c r="H241" s="18">
        <v>18567.59</v>
      </c>
      <c r="I241" s="18">
        <v>617.42999999999995</v>
      </c>
      <c r="J241" s="18">
        <v>6742.55</v>
      </c>
      <c r="K241" s="18">
        <v>1679</v>
      </c>
      <c r="L241" s="19">
        <f t="shared" si="4"/>
        <v>449820.59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>
        <v>76008.97</v>
      </c>
      <c r="G242" s="18">
        <v>29020.14</v>
      </c>
      <c r="H242" s="18">
        <v>1525.36</v>
      </c>
      <c r="I242" s="18">
        <v>10541.8</v>
      </c>
      <c r="J242" s="18">
        <v>2329.23</v>
      </c>
      <c r="K242" s="18">
        <v>565.17999999999995</v>
      </c>
      <c r="L242" s="19">
        <f t="shared" si="4"/>
        <v>119990.68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>
        <v>358343.73</v>
      </c>
      <c r="G243" s="18">
        <v>154448.67000000001</v>
      </c>
      <c r="H243" s="18">
        <v>265728.21000000002</v>
      </c>
      <c r="I243" s="18">
        <v>191233.47</v>
      </c>
      <c r="J243" s="18">
        <v>3960.77</v>
      </c>
      <c r="K243" s="18">
        <v>210.15</v>
      </c>
      <c r="L243" s="19">
        <f t="shared" si="4"/>
        <v>973925.00000000012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>
        <v>237003.63</v>
      </c>
      <c r="G244" s="18">
        <v>42398.25</v>
      </c>
      <c r="H244" s="18">
        <v>200679.56</v>
      </c>
      <c r="I244" s="18">
        <v>53477.77</v>
      </c>
      <c r="J244" s="18">
        <v>1528.85</v>
      </c>
      <c r="K244" s="18">
        <v>0</v>
      </c>
      <c r="L244" s="19">
        <f t="shared" si="4"/>
        <v>535088.05999999994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5037808.4799999995</v>
      </c>
      <c r="G247" s="41">
        <f t="shared" si="5"/>
        <v>2373898.58</v>
      </c>
      <c r="H247" s="41">
        <f t="shared" si="5"/>
        <v>1245672.8600000001</v>
      </c>
      <c r="I247" s="41">
        <f t="shared" si="5"/>
        <v>485125.57</v>
      </c>
      <c r="J247" s="41">
        <f t="shared" si="5"/>
        <v>106290.42</v>
      </c>
      <c r="K247" s="41">
        <f t="shared" si="5"/>
        <v>26519.66</v>
      </c>
      <c r="L247" s="41">
        <f t="shared" si="5"/>
        <v>9275315.5700000003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>
        <v>354615</v>
      </c>
      <c r="I255" s="18"/>
      <c r="J255" s="18"/>
      <c r="K255" s="18"/>
      <c r="L255" s="19">
        <f t="shared" si="6"/>
        <v>354615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354615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354615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16002717.960000001</v>
      </c>
      <c r="G257" s="41">
        <f t="shared" si="8"/>
        <v>7271146.4100000001</v>
      </c>
      <c r="H257" s="41">
        <f t="shared" si="8"/>
        <v>3405477.66</v>
      </c>
      <c r="I257" s="41">
        <f t="shared" si="8"/>
        <v>1247791.3500000001</v>
      </c>
      <c r="J257" s="41">
        <f t="shared" si="8"/>
        <v>275564.26</v>
      </c>
      <c r="K257" s="41">
        <f t="shared" si="8"/>
        <v>92772.65</v>
      </c>
      <c r="L257" s="41">
        <f t="shared" si="8"/>
        <v>28295470.290000003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v>100000</v>
      </c>
      <c r="L260" s="19">
        <f>SUM(F260:K260)</f>
        <v>100000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v>27265</v>
      </c>
      <c r="L261" s="19">
        <f>SUM(F261:K261)</f>
        <v>27265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210193.67</v>
      </c>
      <c r="L263" s="19">
        <f>SUM(F263:K263)</f>
        <v>210193.67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500000</v>
      </c>
      <c r="L266" s="19">
        <f t="shared" si="9"/>
        <v>500000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837458.67</v>
      </c>
      <c r="L270" s="41">
        <f t="shared" si="9"/>
        <v>837458.67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16002717.960000001</v>
      </c>
      <c r="G271" s="42">
        <f t="shared" si="11"/>
        <v>7271146.4100000001</v>
      </c>
      <c r="H271" s="42">
        <f t="shared" si="11"/>
        <v>3405477.66</v>
      </c>
      <c r="I271" s="42">
        <f t="shared" si="11"/>
        <v>1247791.3500000001</v>
      </c>
      <c r="J271" s="42">
        <f t="shared" si="11"/>
        <v>275564.26</v>
      </c>
      <c r="K271" s="42">
        <f t="shared" si="11"/>
        <v>930231.32000000007</v>
      </c>
      <c r="L271" s="42">
        <f t="shared" si="11"/>
        <v>29132928.960000005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v>215101.73</v>
      </c>
      <c r="G276" s="18">
        <v>110582.02</v>
      </c>
      <c r="H276" s="18">
        <v>735</v>
      </c>
      <c r="I276" s="18">
        <v>17846.59</v>
      </c>
      <c r="J276" s="18">
        <v>18024.37</v>
      </c>
      <c r="K276" s="18">
        <v>4529.33</v>
      </c>
      <c r="L276" s="19">
        <f>SUM(F276:K276)</f>
        <v>366819.04000000004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/>
      <c r="G277" s="18"/>
      <c r="H277" s="18">
        <v>500</v>
      </c>
      <c r="I277" s="18">
        <v>7011.7</v>
      </c>
      <c r="J277" s="18">
        <v>11020.88</v>
      </c>
      <c r="K277" s="18">
        <v>233.9</v>
      </c>
      <c r="L277" s="19">
        <f>SUM(F277:K277)</f>
        <v>18766.48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>
        <v>22628.62</v>
      </c>
      <c r="G279" s="18">
        <v>4711.13</v>
      </c>
      <c r="H279" s="18">
        <v>7691.59</v>
      </c>
      <c r="I279" s="18">
        <v>3545.5</v>
      </c>
      <c r="J279" s="18">
        <v>9717</v>
      </c>
      <c r="K279" s="18">
        <v>609.52</v>
      </c>
      <c r="L279" s="19">
        <f>SUM(F279:K279)</f>
        <v>48903.359999999993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>
        <v>118914.72</v>
      </c>
      <c r="G281" s="18">
        <v>59945.32</v>
      </c>
      <c r="H281" s="18">
        <v>58914.57</v>
      </c>
      <c r="I281" s="18"/>
      <c r="J281" s="18"/>
      <c r="K281" s="18">
        <v>3000.99</v>
      </c>
      <c r="L281" s="19">
        <f t="shared" ref="L281:L287" si="12">SUM(F281:K281)</f>
        <v>240775.6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>
        <v>103987.68</v>
      </c>
      <c r="G282" s="18">
        <v>35381.269999999997</v>
      </c>
      <c r="H282" s="18">
        <v>104507.85</v>
      </c>
      <c r="I282" s="18">
        <v>6030.05</v>
      </c>
      <c r="J282" s="18">
        <v>794.15</v>
      </c>
      <c r="K282" s="18">
        <v>3164.14</v>
      </c>
      <c r="L282" s="19">
        <f t="shared" si="12"/>
        <v>253865.13999999998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>
        <v>37692.959999999999</v>
      </c>
      <c r="G283" s="18">
        <v>12252.41</v>
      </c>
      <c r="H283" s="18">
        <v>2704.32</v>
      </c>
      <c r="I283" s="18">
        <v>1142.95</v>
      </c>
      <c r="J283" s="18"/>
      <c r="K283" s="18">
        <v>678.93</v>
      </c>
      <c r="L283" s="19">
        <f t="shared" si="12"/>
        <v>54471.569999999992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>
        <v>5892.28</v>
      </c>
      <c r="G285" s="18">
        <v>1932.21</v>
      </c>
      <c r="H285" s="18">
        <v>3295.99</v>
      </c>
      <c r="I285" s="18">
        <v>250</v>
      </c>
      <c r="J285" s="18"/>
      <c r="K285" s="18">
        <v>143.51</v>
      </c>
      <c r="L285" s="19">
        <f t="shared" si="12"/>
        <v>11513.99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504217.99000000005</v>
      </c>
      <c r="G290" s="42">
        <f t="shared" si="13"/>
        <v>224804.36</v>
      </c>
      <c r="H290" s="42">
        <f t="shared" si="13"/>
        <v>178349.32</v>
      </c>
      <c r="I290" s="42">
        <f t="shared" si="13"/>
        <v>35826.79</v>
      </c>
      <c r="J290" s="42">
        <f t="shared" si="13"/>
        <v>39556.400000000001</v>
      </c>
      <c r="K290" s="42">
        <f t="shared" si="13"/>
        <v>12360.32</v>
      </c>
      <c r="L290" s="41">
        <f t="shared" si="13"/>
        <v>995115.17999999993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>
        <v>1199.2</v>
      </c>
      <c r="J315" s="18"/>
      <c r="K315" s="18"/>
      <c r="L315" s="19">
        <f>SUM(F315:K315)</f>
        <v>1199.2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>
        <v>20665.48</v>
      </c>
      <c r="I316" s="18">
        <v>2636.8</v>
      </c>
      <c r="J316" s="18">
        <v>18661.900000000001</v>
      </c>
      <c r="K316" s="18">
        <v>243.16</v>
      </c>
      <c r="L316" s="19">
        <f>SUM(F316:K316)</f>
        <v>42207.340000000004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>
        <v>60180.81</v>
      </c>
      <c r="G319" s="18">
        <v>20742.560000000001</v>
      </c>
      <c r="H319" s="18">
        <v>1634.4</v>
      </c>
      <c r="I319" s="18">
        <v>1310.56</v>
      </c>
      <c r="J319" s="18"/>
      <c r="K319" s="18"/>
      <c r="L319" s="19">
        <f t="shared" ref="L319:L325" si="16">SUM(F319:K319)</f>
        <v>83868.329999999987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>
        <v>11843.72</v>
      </c>
      <c r="G320" s="18">
        <v>1582.31</v>
      </c>
      <c r="H320" s="18">
        <v>30078</v>
      </c>
      <c r="I320" s="18">
        <v>885.4</v>
      </c>
      <c r="J320" s="18"/>
      <c r="K320" s="18">
        <v>1434.88</v>
      </c>
      <c r="L320" s="19">
        <f t="shared" si="16"/>
        <v>45824.31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>
        <v>1195.5899999999999</v>
      </c>
      <c r="I321" s="18"/>
      <c r="J321" s="18"/>
      <c r="K321" s="18"/>
      <c r="L321" s="19">
        <f t="shared" si="16"/>
        <v>1195.5899999999999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>
        <v>2838.97</v>
      </c>
      <c r="G323" s="18">
        <v>930.96</v>
      </c>
      <c r="H323" s="18">
        <v>1588.05</v>
      </c>
      <c r="I323" s="18"/>
      <c r="J323" s="18"/>
      <c r="K323" s="18"/>
      <c r="L323" s="19">
        <f t="shared" si="16"/>
        <v>5357.98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74863.5</v>
      </c>
      <c r="G328" s="42">
        <f t="shared" si="17"/>
        <v>23255.83</v>
      </c>
      <c r="H328" s="42">
        <f t="shared" si="17"/>
        <v>55161.520000000004</v>
      </c>
      <c r="I328" s="42">
        <f t="shared" si="17"/>
        <v>6031.9599999999991</v>
      </c>
      <c r="J328" s="42">
        <f t="shared" si="17"/>
        <v>18661.900000000001</v>
      </c>
      <c r="K328" s="42">
        <f t="shared" si="17"/>
        <v>1678.0400000000002</v>
      </c>
      <c r="L328" s="41">
        <f t="shared" si="17"/>
        <v>179652.75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579081.49</v>
      </c>
      <c r="G338" s="41">
        <f t="shared" si="20"/>
        <v>248060.19</v>
      </c>
      <c r="H338" s="41">
        <f t="shared" si="20"/>
        <v>233510.84000000003</v>
      </c>
      <c r="I338" s="41">
        <f t="shared" si="20"/>
        <v>41858.75</v>
      </c>
      <c r="J338" s="41">
        <f t="shared" si="20"/>
        <v>58218.3</v>
      </c>
      <c r="K338" s="41">
        <f t="shared" si="20"/>
        <v>14038.36</v>
      </c>
      <c r="L338" s="41">
        <f t="shared" si="20"/>
        <v>1174767.93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579081.49</v>
      </c>
      <c r="G352" s="41">
        <f>G338</f>
        <v>248060.19</v>
      </c>
      <c r="H352" s="41">
        <f>H338</f>
        <v>233510.84000000003</v>
      </c>
      <c r="I352" s="41">
        <f>I338</f>
        <v>41858.75</v>
      </c>
      <c r="J352" s="41">
        <f>J338</f>
        <v>58218.3</v>
      </c>
      <c r="K352" s="47">
        <f>K338+K351</f>
        <v>14038.36</v>
      </c>
      <c r="L352" s="41">
        <f>L338+L351</f>
        <v>1174767.93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v>242100.08</v>
      </c>
      <c r="G358" s="18">
        <v>70313.2</v>
      </c>
      <c r="H358" s="18">
        <v>95061.15</v>
      </c>
      <c r="I358" s="18">
        <v>265928.65000000002</v>
      </c>
      <c r="J358" s="18">
        <v>1543.43</v>
      </c>
      <c r="K358" s="18">
        <v>0</v>
      </c>
      <c r="L358" s="13">
        <f>SUM(F358:K358)</f>
        <v>674946.51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>
        <v>81522.429999999993</v>
      </c>
      <c r="G360" s="18">
        <v>48217.440000000002</v>
      </c>
      <c r="H360" s="18">
        <v>16293.61</v>
      </c>
      <c r="I360" s="18">
        <v>54496.33</v>
      </c>
      <c r="J360" s="18">
        <v>0</v>
      </c>
      <c r="K360" s="18">
        <v>0</v>
      </c>
      <c r="L360" s="19">
        <f>SUM(F360:K360)</f>
        <v>200529.81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323622.51</v>
      </c>
      <c r="G362" s="47">
        <f t="shared" si="22"/>
        <v>118530.64</v>
      </c>
      <c r="H362" s="47">
        <f t="shared" si="22"/>
        <v>111354.76</v>
      </c>
      <c r="I362" s="47">
        <f t="shared" si="22"/>
        <v>320424.98000000004</v>
      </c>
      <c r="J362" s="47">
        <f t="shared" si="22"/>
        <v>1543.43</v>
      </c>
      <c r="K362" s="47">
        <f t="shared" si="22"/>
        <v>0</v>
      </c>
      <c r="L362" s="47">
        <f t="shared" si="22"/>
        <v>875476.32000000007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v>256183.88</v>
      </c>
      <c r="G367" s="18"/>
      <c r="H367" s="18">
        <v>49942.73</v>
      </c>
      <c r="I367" s="56">
        <f>SUM(F367:H367)</f>
        <v>306126.61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v>9751.2800000000007</v>
      </c>
      <c r="G368" s="63"/>
      <c r="H368" s="63">
        <v>4547.09</v>
      </c>
      <c r="I368" s="56">
        <f>SUM(F368:H368)</f>
        <v>14298.37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265935.16000000003</v>
      </c>
      <c r="G369" s="47">
        <f>SUM(G367:G368)</f>
        <v>0</v>
      </c>
      <c r="H369" s="47">
        <f>SUM(H367:H368)</f>
        <v>54489.820000000007</v>
      </c>
      <c r="I369" s="47">
        <f>SUM(I367:I368)</f>
        <v>320424.98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>
        <v>500000</v>
      </c>
      <c r="H389" s="18">
        <v>13699.26</v>
      </c>
      <c r="I389" s="18"/>
      <c r="J389" s="24" t="s">
        <v>286</v>
      </c>
      <c r="K389" s="24" t="s">
        <v>286</v>
      </c>
      <c r="L389" s="56">
        <f t="shared" si="25"/>
        <v>513699.26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500000</v>
      </c>
      <c r="H393" s="139">
        <f>SUM(H387:H392)</f>
        <v>13699.26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513699.26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/>
      <c r="I396" s="18"/>
      <c r="J396" s="24" t="s">
        <v>286</v>
      </c>
      <c r="K396" s="24" t="s">
        <v>286</v>
      </c>
      <c r="L396" s="56">
        <f t="shared" si="26"/>
        <v>0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>
        <v>4658.17</v>
      </c>
      <c r="I397" s="18"/>
      <c r="J397" s="24" t="s">
        <v>286</v>
      </c>
      <c r="K397" s="24" t="s">
        <v>286</v>
      </c>
      <c r="L397" s="56">
        <f t="shared" si="26"/>
        <v>4658.17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>
        <v>13039.87</v>
      </c>
      <c r="I400" s="18"/>
      <c r="J400" s="24" t="s">
        <v>286</v>
      </c>
      <c r="K400" s="24" t="s">
        <v>286</v>
      </c>
      <c r="L400" s="56">
        <f t="shared" si="26"/>
        <v>13039.87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17698.04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17698.04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500000</v>
      </c>
      <c r="H408" s="47">
        <f>H393+H401+H407</f>
        <v>31397.300000000003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531397.30000000005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>
        <v>354615</v>
      </c>
      <c r="I414" s="18"/>
      <c r="J414" s="18"/>
      <c r="K414" s="18"/>
      <c r="L414" s="56">
        <f t="shared" si="27"/>
        <v>354615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354615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354615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354615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354615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>
        <v>1118854.3</v>
      </c>
      <c r="G440" s="18">
        <v>1440581.2</v>
      </c>
      <c r="H440" s="18"/>
      <c r="I440" s="56">
        <f t="shared" si="33"/>
        <v>2559435.5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1118854.3</v>
      </c>
      <c r="G446" s="13">
        <f>SUM(G439:G445)</f>
        <v>1440581.2</v>
      </c>
      <c r="H446" s="13">
        <f>SUM(H439:H445)</f>
        <v>0</v>
      </c>
      <c r="I446" s="13">
        <f>SUM(I439:I445)</f>
        <v>2559435.5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>
        <v>1118854.3</v>
      </c>
      <c r="G459" s="18">
        <v>1440581.2</v>
      </c>
      <c r="H459" s="18"/>
      <c r="I459" s="56">
        <f t="shared" si="34"/>
        <v>2559435.5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1118854.3</v>
      </c>
      <c r="G460" s="83">
        <f>SUM(G454:G459)</f>
        <v>1440581.2</v>
      </c>
      <c r="H460" s="83">
        <f>SUM(H454:H459)</f>
        <v>0</v>
      </c>
      <c r="I460" s="83">
        <f>SUM(I454:I459)</f>
        <v>2559435.5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1118854.3</v>
      </c>
      <c r="G461" s="42">
        <f>G452+G460</f>
        <v>1440581.2</v>
      </c>
      <c r="H461" s="42">
        <f>H452+H460</f>
        <v>0</v>
      </c>
      <c r="I461" s="42">
        <f>I452+I460</f>
        <v>2559435.5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817593.24</v>
      </c>
      <c r="G465" s="18">
        <v>0</v>
      </c>
      <c r="H465" s="18">
        <v>67840.95</v>
      </c>
      <c r="I465" s="18">
        <v>0</v>
      </c>
      <c r="J465" s="18">
        <v>2382653.2000000002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28578242.029999997</v>
      </c>
      <c r="G468" s="18">
        <v>875476.32000000007</v>
      </c>
      <c r="H468" s="18">
        <v>1186802.1399999999</v>
      </c>
      <c r="I468" s="18">
        <v>0</v>
      </c>
      <c r="J468" s="18">
        <v>531397.30000000005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28578242.029999997</v>
      </c>
      <c r="G470" s="53">
        <f>SUM(G468:G469)</f>
        <v>875476.32000000007</v>
      </c>
      <c r="H470" s="53">
        <f>SUM(H468:H469)</f>
        <v>1186802.1399999999</v>
      </c>
      <c r="I470" s="53">
        <f>SUM(I468:I469)</f>
        <v>0</v>
      </c>
      <c r="J470" s="53">
        <f>SUM(J468:J469)</f>
        <v>531397.30000000005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29132928.960000005</v>
      </c>
      <c r="G472" s="18">
        <v>875476.32000000007</v>
      </c>
      <c r="H472" s="18">
        <v>1174767.93</v>
      </c>
      <c r="I472" s="18">
        <v>0</v>
      </c>
      <c r="J472" s="18">
        <v>354615</v>
      </c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29132928.960000005</v>
      </c>
      <c r="G474" s="53">
        <f>SUM(G472:G473)</f>
        <v>875476.32000000007</v>
      </c>
      <c r="H474" s="53">
        <f>SUM(H472:H473)</f>
        <v>1174767.93</v>
      </c>
      <c r="I474" s="53">
        <f>SUM(I472:I473)</f>
        <v>0</v>
      </c>
      <c r="J474" s="53">
        <f>SUM(J472:J473)</f>
        <v>354615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262906.30999999121</v>
      </c>
      <c r="G476" s="53">
        <f>(G465+G470)- G474</f>
        <v>0</v>
      </c>
      <c r="H476" s="53">
        <f>(H465+H470)- H474</f>
        <v>79875.159999999916</v>
      </c>
      <c r="I476" s="53">
        <f>(I465+I470)- I474</f>
        <v>0</v>
      </c>
      <c r="J476" s="53">
        <f>(J465+J470)- J474</f>
        <v>2559435.5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>
        <v>20</v>
      </c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/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/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>
        <v>2000000</v>
      </c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>
        <v>3.99</v>
      </c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>
        <v>800000</v>
      </c>
      <c r="G495" s="18"/>
      <c r="H495" s="18"/>
      <c r="I495" s="18"/>
      <c r="J495" s="18"/>
      <c r="K495" s="53">
        <f>SUM(F495:J495)</f>
        <v>800000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>
        <v>100000</v>
      </c>
      <c r="G497" s="18"/>
      <c r="H497" s="18"/>
      <c r="I497" s="18"/>
      <c r="J497" s="18"/>
      <c r="K497" s="53">
        <f t="shared" si="35"/>
        <v>100000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>
        <v>700000</v>
      </c>
      <c r="G498" s="204"/>
      <c r="H498" s="204"/>
      <c r="I498" s="204"/>
      <c r="J498" s="204"/>
      <c r="K498" s="205">
        <f t="shared" si="35"/>
        <v>700000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>
        <v>105462.5</v>
      </c>
      <c r="G499" s="18"/>
      <c r="H499" s="18"/>
      <c r="I499" s="18"/>
      <c r="J499" s="18"/>
      <c r="K499" s="53">
        <f t="shared" si="35"/>
        <v>105462.5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805462.5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805462.5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>
        <v>100000</v>
      </c>
      <c r="G501" s="204"/>
      <c r="H501" s="204"/>
      <c r="I501" s="204"/>
      <c r="J501" s="204"/>
      <c r="K501" s="205">
        <f t="shared" si="35"/>
        <v>100000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>
        <v>27675</v>
      </c>
      <c r="G502" s="18"/>
      <c r="H502" s="18"/>
      <c r="I502" s="18"/>
      <c r="J502" s="18"/>
      <c r="K502" s="53">
        <f t="shared" si="35"/>
        <v>27675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127675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127675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v>2190636.7599999998</v>
      </c>
      <c r="G521" s="18">
        <v>789688.39999999991</v>
      </c>
      <c r="H521" s="18">
        <v>540743.02</v>
      </c>
      <c r="I521" s="18">
        <v>21748.11</v>
      </c>
      <c r="J521" s="18">
        <v>13078.06</v>
      </c>
      <c r="K521" s="18"/>
      <c r="L521" s="88">
        <f>SUM(F521:K521)</f>
        <v>3555894.3499999996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>
        <v>854201</v>
      </c>
      <c r="G523" s="18">
        <v>359973.46</v>
      </c>
      <c r="H523" s="18">
        <v>576592.96</v>
      </c>
      <c r="I523" s="18">
        <v>13067.82</v>
      </c>
      <c r="J523" s="18">
        <v>1266.21</v>
      </c>
      <c r="K523" s="18"/>
      <c r="L523" s="88">
        <f>SUM(F523:K523)</f>
        <v>1805101.45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3044837.76</v>
      </c>
      <c r="G524" s="108">
        <f t="shared" ref="G524:L524" si="36">SUM(G521:G523)</f>
        <v>1149661.8599999999</v>
      </c>
      <c r="H524" s="108">
        <f t="shared" si="36"/>
        <v>1117335.98</v>
      </c>
      <c r="I524" s="108">
        <f t="shared" si="36"/>
        <v>34815.93</v>
      </c>
      <c r="J524" s="108">
        <f t="shared" si="36"/>
        <v>14344.27</v>
      </c>
      <c r="K524" s="108">
        <f t="shared" si="36"/>
        <v>0</v>
      </c>
      <c r="L524" s="89">
        <f t="shared" si="36"/>
        <v>5360995.8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v>583786.9</v>
      </c>
      <c r="G526" s="18">
        <v>213714.42</v>
      </c>
      <c r="H526" s="18">
        <v>14689.32</v>
      </c>
      <c r="I526" s="18">
        <v>7011.7</v>
      </c>
      <c r="J526" s="18">
        <v>1004.67</v>
      </c>
      <c r="K526" s="18">
        <v>233.9</v>
      </c>
      <c r="L526" s="88">
        <f>SUM(F526:K526)</f>
        <v>820440.91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>
        <v>196216.6</v>
      </c>
      <c r="G528" s="18">
        <v>84618.47</v>
      </c>
      <c r="H528" s="18">
        <v>7094.68</v>
      </c>
      <c r="I528" s="18">
        <v>1199.2</v>
      </c>
      <c r="J528" s="18">
        <v>502.33</v>
      </c>
      <c r="K528" s="18"/>
      <c r="L528" s="88">
        <f>SUM(F528:K528)</f>
        <v>289631.28000000003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780003.5</v>
      </c>
      <c r="G529" s="89">
        <f t="shared" ref="G529:L529" si="37">SUM(G526:G528)</f>
        <v>298332.89</v>
      </c>
      <c r="H529" s="89">
        <f t="shared" si="37"/>
        <v>21784</v>
      </c>
      <c r="I529" s="89">
        <f t="shared" si="37"/>
        <v>8210.9</v>
      </c>
      <c r="J529" s="89">
        <f t="shared" si="37"/>
        <v>1507</v>
      </c>
      <c r="K529" s="89">
        <f t="shared" si="37"/>
        <v>233.9</v>
      </c>
      <c r="L529" s="89">
        <f t="shared" si="37"/>
        <v>1110072.19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v>127574.37</v>
      </c>
      <c r="G531" s="18">
        <v>46702.8</v>
      </c>
      <c r="H531" s="18">
        <v>2351.1</v>
      </c>
      <c r="I531" s="18">
        <v>5525.89</v>
      </c>
      <c r="J531" s="18"/>
      <c r="K531" s="18">
        <v>876.67</v>
      </c>
      <c r="L531" s="88">
        <f>SUM(F531:K531)</f>
        <v>183030.83000000002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>
        <v>66530.490000000005</v>
      </c>
      <c r="G533" s="18">
        <v>28691.3</v>
      </c>
      <c r="H533" s="18">
        <v>795.65</v>
      </c>
      <c r="I533" s="18">
        <v>2761.96</v>
      </c>
      <c r="J533" s="18"/>
      <c r="K533" s="18">
        <v>872.9</v>
      </c>
      <c r="L533" s="88">
        <f>SUM(F533:K533)</f>
        <v>99652.3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194104.86</v>
      </c>
      <c r="G534" s="89">
        <f t="shared" ref="G534:L534" si="38">SUM(G531:G533)</f>
        <v>75394.100000000006</v>
      </c>
      <c r="H534" s="89">
        <f t="shared" si="38"/>
        <v>3146.75</v>
      </c>
      <c r="I534" s="89">
        <f t="shared" si="38"/>
        <v>8287.85</v>
      </c>
      <c r="J534" s="89">
        <f t="shared" si="38"/>
        <v>0</v>
      </c>
      <c r="K534" s="89">
        <f t="shared" si="38"/>
        <v>1749.57</v>
      </c>
      <c r="L534" s="89">
        <f t="shared" si="38"/>
        <v>282683.13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>
        <v>1398.02</v>
      </c>
      <c r="I536" s="18"/>
      <c r="J536" s="18"/>
      <c r="K536" s="18"/>
      <c r="L536" s="88">
        <f>SUM(F536:K536)</f>
        <v>1398.02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>
        <v>699.01</v>
      </c>
      <c r="I538" s="18"/>
      <c r="J538" s="18"/>
      <c r="K538" s="18"/>
      <c r="L538" s="88">
        <f>SUM(F538:K538)</f>
        <v>699.01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2097.0299999999997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2097.0299999999997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>
        <v>66635.27</v>
      </c>
      <c r="G541" s="18">
        <v>12110.63</v>
      </c>
      <c r="H541" s="18">
        <v>55877.09</v>
      </c>
      <c r="I541" s="18">
        <v>15017.68</v>
      </c>
      <c r="J541" s="18">
        <v>480.6</v>
      </c>
      <c r="K541" s="18">
        <v>0</v>
      </c>
      <c r="L541" s="88">
        <f>SUM(F541:K541)</f>
        <v>150121.26999999999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>
        <v>19030.060000000001</v>
      </c>
      <c r="G543" s="18">
        <v>3458.62</v>
      </c>
      <c r="H543" s="18">
        <v>15957.69</v>
      </c>
      <c r="I543" s="18">
        <v>4288.83</v>
      </c>
      <c r="J543" s="18">
        <v>137.25</v>
      </c>
      <c r="K543" s="18">
        <v>0</v>
      </c>
      <c r="L543" s="88">
        <f>SUM(F543:K543)</f>
        <v>42872.450000000004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85665.33</v>
      </c>
      <c r="G544" s="193">
        <f t="shared" ref="G544:L544" si="40">SUM(G541:G543)</f>
        <v>15569.25</v>
      </c>
      <c r="H544" s="193">
        <f t="shared" si="40"/>
        <v>71834.78</v>
      </c>
      <c r="I544" s="193">
        <f t="shared" si="40"/>
        <v>19306.510000000002</v>
      </c>
      <c r="J544" s="193">
        <f t="shared" si="40"/>
        <v>617.85</v>
      </c>
      <c r="K544" s="193">
        <f t="shared" si="40"/>
        <v>0</v>
      </c>
      <c r="L544" s="193">
        <f t="shared" si="40"/>
        <v>192993.72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4104611.4499999997</v>
      </c>
      <c r="G545" s="89">
        <f t="shared" ref="G545:L545" si="41">G524+G529+G534+G539+G544</f>
        <v>1538958.1</v>
      </c>
      <c r="H545" s="89">
        <f t="shared" si="41"/>
        <v>1216198.54</v>
      </c>
      <c r="I545" s="89">
        <f t="shared" si="41"/>
        <v>70621.19</v>
      </c>
      <c r="J545" s="89">
        <f t="shared" si="41"/>
        <v>16469.12</v>
      </c>
      <c r="K545" s="89">
        <f t="shared" si="41"/>
        <v>1983.47</v>
      </c>
      <c r="L545" s="89">
        <f t="shared" si="41"/>
        <v>6948841.8700000001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3555894.3499999996</v>
      </c>
      <c r="G549" s="87">
        <f>L526</f>
        <v>820440.91</v>
      </c>
      <c r="H549" s="87">
        <f>L531</f>
        <v>183030.83000000002</v>
      </c>
      <c r="I549" s="87">
        <f>L536</f>
        <v>1398.02</v>
      </c>
      <c r="J549" s="87">
        <f>L541</f>
        <v>150121.26999999999</v>
      </c>
      <c r="K549" s="87">
        <f>SUM(F549:J549)</f>
        <v>4710885.379999999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1805101.45</v>
      </c>
      <c r="G551" s="87">
        <f>L528</f>
        <v>289631.28000000003</v>
      </c>
      <c r="H551" s="87">
        <f>L533</f>
        <v>99652.3</v>
      </c>
      <c r="I551" s="87">
        <f>L538</f>
        <v>699.01</v>
      </c>
      <c r="J551" s="87">
        <f>L543</f>
        <v>42872.450000000004</v>
      </c>
      <c r="K551" s="87">
        <f>SUM(F551:J551)</f>
        <v>2237956.4899999998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5360995.8</v>
      </c>
      <c r="G552" s="89">
        <f t="shared" si="42"/>
        <v>1110072.19</v>
      </c>
      <c r="H552" s="89">
        <f t="shared" si="42"/>
        <v>282683.13</v>
      </c>
      <c r="I552" s="89">
        <f t="shared" si="42"/>
        <v>2097.0299999999997</v>
      </c>
      <c r="J552" s="89">
        <f t="shared" si="42"/>
        <v>192993.72</v>
      </c>
      <c r="K552" s="89">
        <f t="shared" si="42"/>
        <v>6948841.8699999992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>
        <v>4602.3999999999996</v>
      </c>
      <c r="G575" s="18"/>
      <c r="H575" s="18"/>
      <c r="I575" s="87">
        <f>SUM(F575:H575)</f>
        <v>4602.3999999999996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>
        <v>24949.49</v>
      </c>
      <c r="G579" s="18"/>
      <c r="H579" s="18">
        <v>20870.23</v>
      </c>
      <c r="I579" s="87">
        <f t="shared" si="47"/>
        <v>45819.72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>
        <v>330259.02</v>
      </c>
      <c r="G582" s="18"/>
      <c r="H582" s="18">
        <v>460083.4</v>
      </c>
      <c r="I582" s="87">
        <f t="shared" si="47"/>
        <v>790342.42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>
        <v>89199.26</v>
      </c>
      <c r="G583" s="18"/>
      <c r="H583" s="18">
        <v>44336.51</v>
      </c>
      <c r="I583" s="87">
        <f t="shared" si="47"/>
        <v>133535.76999999999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>
        <v>29338.55</v>
      </c>
      <c r="I584" s="87">
        <f t="shared" si="47"/>
        <v>29338.55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>
        <v>88913.5</v>
      </c>
      <c r="I585" s="87">
        <f t="shared" si="47"/>
        <v>88913.5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633647.6</v>
      </c>
      <c r="I591" s="18"/>
      <c r="J591" s="18">
        <v>350434.17</v>
      </c>
      <c r="K591" s="104">
        <f t="shared" ref="K591:K597" si="48">SUM(H591:J591)</f>
        <v>984081.77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150121.26999999999</v>
      </c>
      <c r="I592" s="18"/>
      <c r="J592" s="18">
        <v>42872.45</v>
      </c>
      <c r="K592" s="104">
        <f t="shared" si="48"/>
        <v>192993.71999999997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>
        <v>0</v>
      </c>
      <c r="I593" s="18"/>
      <c r="J593" s="18">
        <v>87253.83</v>
      </c>
      <c r="K593" s="104">
        <f t="shared" si="48"/>
        <v>87253.83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>
        <v>31648.91</v>
      </c>
      <c r="I594" s="18"/>
      <c r="J594" s="18">
        <v>51300.46</v>
      </c>
      <c r="K594" s="104">
        <f t="shared" si="48"/>
        <v>82949.37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4142.37</v>
      </c>
      <c r="I595" s="18"/>
      <c r="J595" s="18">
        <v>3227.15</v>
      </c>
      <c r="K595" s="104">
        <f t="shared" si="48"/>
        <v>7369.52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>
        <v>0</v>
      </c>
      <c r="I596" s="18"/>
      <c r="J596" s="18">
        <v>0</v>
      </c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>
        <v>0</v>
      </c>
      <c r="I597" s="18"/>
      <c r="J597" s="18">
        <v>0</v>
      </c>
      <c r="K597" s="104">
        <f t="shared" si="48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819560.15</v>
      </c>
      <c r="I598" s="108">
        <f>SUM(I591:I597)</f>
        <v>0</v>
      </c>
      <c r="J598" s="108">
        <f>SUM(J591:J597)</f>
        <v>535088.06000000006</v>
      </c>
      <c r="K598" s="108">
        <f>SUM(K591:K597)</f>
        <v>1354648.21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v>208830.24</v>
      </c>
      <c r="I604" s="18"/>
      <c r="J604" s="18">
        <v>124952.32000000001</v>
      </c>
      <c r="K604" s="104">
        <f>SUM(H604:J604)</f>
        <v>333782.56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208830.24</v>
      </c>
      <c r="I605" s="108">
        <f>SUM(I602:I604)</f>
        <v>0</v>
      </c>
      <c r="J605" s="108">
        <f>SUM(J602:J604)</f>
        <v>124952.32000000001</v>
      </c>
      <c r="K605" s="108">
        <f>SUM(K602:K604)</f>
        <v>333782.56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3367880.21</v>
      </c>
      <c r="H617" s="109">
        <f>SUM(F52)</f>
        <v>3367880.21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0</v>
      </c>
      <c r="H618" s="109">
        <f>SUM(G52)</f>
        <v>0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79875.16</v>
      </c>
      <c r="H619" s="109">
        <f>SUM(H52)</f>
        <v>79875.16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2559435.5</v>
      </c>
      <c r="H621" s="109">
        <f>SUM(J52)</f>
        <v>2559435.5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262906.31</v>
      </c>
      <c r="H622" s="109">
        <f>F476</f>
        <v>262906.30999999121</v>
      </c>
      <c r="I622" s="121" t="s">
        <v>101</v>
      </c>
      <c r="J622" s="109">
        <f t="shared" ref="J622:J655" si="50">G622-H622</f>
        <v>8.7893567979335785E-9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79875.16</v>
      </c>
      <c r="H624" s="109">
        <f>H476</f>
        <v>79875.159999999916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2559435.5</v>
      </c>
      <c r="H626" s="109">
        <f>J476</f>
        <v>2559435.5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28578242.029999997</v>
      </c>
      <c r="H627" s="104">
        <f>SUM(F468)</f>
        <v>28578242.029999997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875476.32000000007</v>
      </c>
      <c r="H628" s="104">
        <f>SUM(G468)</f>
        <v>875476.32000000007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1186802.1399999999</v>
      </c>
      <c r="H629" s="104">
        <f>SUM(H468)</f>
        <v>1186802.1399999999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531397.30000000005</v>
      </c>
      <c r="H631" s="104">
        <f>SUM(J468)</f>
        <v>531397.30000000005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29132928.960000005</v>
      </c>
      <c r="H632" s="104">
        <f>SUM(F472)</f>
        <v>29132928.960000005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1174767.93</v>
      </c>
      <c r="H633" s="104">
        <f>SUM(H472)</f>
        <v>1174767.93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320424.98000000004</v>
      </c>
      <c r="H634" s="104">
        <f>I369</f>
        <v>320424.98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875476.32000000007</v>
      </c>
      <c r="H635" s="104">
        <f>SUM(G472)</f>
        <v>875476.32000000007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531397.30000000005</v>
      </c>
      <c r="H637" s="164">
        <f>SUM(J468)</f>
        <v>531397.30000000005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354615</v>
      </c>
      <c r="H638" s="164">
        <f>SUM(J472)</f>
        <v>354615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1118854.3</v>
      </c>
      <c r="H639" s="104">
        <f>SUM(F461)</f>
        <v>1118854.3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1440581.2</v>
      </c>
      <c r="H640" s="104">
        <f>SUM(G461)</f>
        <v>1440581.2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2559435.5</v>
      </c>
      <c r="H642" s="104">
        <f>SUM(I461)</f>
        <v>2559435.5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31397.3</v>
      </c>
      <c r="H644" s="104">
        <f>H408</f>
        <v>31397.300000000003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500000</v>
      </c>
      <c r="H645" s="104">
        <f>G408</f>
        <v>500000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531397.30000000005</v>
      </c>
      <c r="H646" s="104">
        <f>L408</f>
        <v>531397.30000000005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1354648.21</v>
      </c>
      <c r="H647" s="104">
        <f>L208+L226+L244</f>
        <v>1354648.21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333782.56</v>
      </c>
      <c r="H648" s="104">
        <f>(J257+J338)-(J255+J336)</f>
        <v>333782.56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819560.14999999991</v>
      </c>
      <c r="H649" s="104">
        <f>H598</f>
        <v>819560.15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0</v>
      </c>
      <c r="H650" s="104">
        <f>I598</f>
        <v>0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535088.05999999994</v>
      </c>
      <c r="H651" s="104">
        <f>J598</f>
        <v>535088.06000000006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210193.67</v>
      </c>
      <c r="H652" s="104">
        <f>K263+K345</f>
        <v>210193.67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500000</v>
      </c>
      <c r="H655" s="104">
        <f>K266+K347</f>
        <v>500000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20335601.410000004</v>
      </c>
      <c r="G660" s="19">
        <f>(L229+L309+L359)</f>
        <v>0</v>
      </c>
      <c r="H660" s="19">
        <f>(L247+L328+L360)</f>
        <v>9655498.1300000008</v>
      </c>
      <c r="I660" s="19">
        <f>SUM(F660:H660)</f>
        <v>29991099.540000007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145878.75103364326</v>
      </c>
      <c r="G661" s="19">
        <f>(L359/IF(SUM(L358:L360)=0,1,SUM(L358:L360))*(SUM(G97:G110)))</f>
        <v>0</v>
      </c>
      <c r="H661" s="19">
        <f>(L360/IF(SUM(L358:L360)=0,1,SUM(L358:L360))*(SUM(G97:G110)))</f>
        <v>43341.268966356729</v>
      </c>
      <c r="I661" s="19">
        <f>SUM(F661:H661)</f>
        <v>189220.02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816729.58</v>
      </c>
      <c r="G662" s="19">
        <f>(L226+L306)-(J226+J306)</f>
        <v>0</v>
      </c>
      <c r="H662" s="19">
        <f>(L244+L325)-(J244+J325)</f>
        <v>533559.21</v>
      </c>
      <c r="I662" s="19">
        <f>SUM(F662:H662)</f>
        <v>1350288.79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657840.41</v>
      </c>
      <c r="G663" s="199">
        <f>SUM(G575:G587)+SUM(I602:I604)+L612</f>
        <v>0</v>
      </c>
      <c r="H663" s="199">
        <f>SUM(H575:H587)+SUM(J602:J604)+L613</f>
        <v>768494.51</v>
      </c>
      <c r="I663" s="19">
        <f>SUM(F663:H663)</f>
        <v>1426334.92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18715152.66896636</v>
      </c>
      <c r="G664" s="19">
        <f>G660-SUM(G661:G663)</f>
        <v>0</v>
      </c>
      <c r="H664" s="19">
        <f>H660-SUM(H661:H663)</f>
        <v>8310103.1410336439</v>
      </c>
      <c r="I664" s="19">
        <f>I660-SUM(I661:I663)</f>
        <v>27025255.810000006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1015.79</v>
      </c>
      <c r="G665" s="248"/>
      <c r="H665" s="248">
        <v>489.4</v>
      </c>
      <c r="I665" s="19">
        <f>SUM(F665:H665)</f>
        <v>1505.19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18424.23</v>
      </c>
      <c r="G667" s="19" t="e">
        <f>ROUND(G664/G665,2)</f>
        <v>#DIV/0!</v>
      </c>
      <c r="H667" s="19">
        <f>ROUND(H664/H665,2)</f>
        <v>16980.189999999999</v>
      </c>
      <c r="I667" s="19">
        <f>ROUND(I664/I665,2)</f>
        <v>17954.71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>
        <v>-10.39</v>
      </c>
      <c r="I670" s="19">
        <f>SUM(F670:H670)</f>
        <v>-10.39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18424.23</v>
      </c>
      <c r="G672" s="19" t="e">
        <f>ROUND((G664+G669)/(G665+G670),2)</f>
        <v>#DIV/0!</v>
      </c>
      <c r="H672" s="19">
        <f>ROUND((H664+H669)/(H665+H670),2)</f>
        <v>17348.5</v>
      </c>
      <c r="I672" s="19">
        <f>ROUND((I664+I669)/(I665+I670),2)</f>
        <v>18079.509999999998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16" workbookViewId="0">
      <selection activeCell="B37" sqref="B37:C3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Fall Mountain Regional School District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7051048.040000001</v>
      </c>
      <c r="C9" s="229">
        <f>'DOE25'!G197+'DOE25'!G215+'DOE25'!G233+'DOE25'!G276+'DOE25'!G295+'DOE25'!G314</f>
        <v>3670584.8699999996</v>
      </c>
    </row>
    <row r="10" spans="1:3" x14ac:dyDescent="0.2">
      <c r="A10" t="s">
        <v>773</v>
      </c>
      <c r="B10" s="240">
        <v>6900723.1100000003</v>
      </c>
      <c r="C10" s="240">
        <v>3594687.33</v>
      </c>
    </row>
    <row r="11" spans="1:3" x14ac:dyDescent="0.2">
      <c r="A11" t="s">
        <v>774</v>
      </c>
      <c r="B11" s="240">
        <v>150324.93</v>
      </c>
      <c r="C11" s="240">
        <v>75897.539999999994</v>
      </c>
    </row>
    <row r="12" spans="1:3" x14ac:dyDescent="0.2">
      <c r="A12" t="s">
        <v>775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7051048.04</v>
      </c>
      <c r="C13" s="231">
        <f>SUM(C10:C12)</f>
        <v>3670584.87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4018946.12</v>
      </c>
      <c r="C18" s="229">
        <f>'DOE25'!G198+'DOE25'!G216+'DOE25'!G234+'DOE25'!G277+'DOE25'!G296+'DOE25'!G315</f>
        <v>1523388.85</v>
      </c>
    </row>
    <row r="19" spans="1:3" x14ac:dyDescent="0.2">
      <c r="A19" t="s">
        <v>773</v>
      </c>
      <c r="B19" s="240">
        <v>1530984.17</v>
      </c>
      <c r="C19" s="240">
        <v>580322.34</v>
      </c>
    </row>
    <row r="20" spans="1:3" x14ac:dyDescent="0.2">
      <c r="A20" t="s">
        <v>774</v>
      </c>
      <c r="B20" s="240">
        <v>1678418.45</v>
      </c>
      <c r="C20" s="240">
        <v>636207.56999999995</v>
      </c>
    </row>
    <row r="21" spans="1:3" x14ac:dyDescent="0.2">
      <c r="A21" t="s">
        <v>775</v>
      </c>
      <c r="B21" s="240">
        <v>809543.5</v>
      </c>
      <c r="C21" s="240">
        <v>306858.94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4018946.12</v>
      </c>
      <c r="C22" s="231">
        <f>SUM(C19:C21)</f>
        <v>1523388.8499999999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120133</v>
      </c>
      <c r="C27" s="234">
        <f>'DOE25'!G199+'DOE25'!G217+'DOE25'!G235+'DOE25'!G278+'DOE25'!G297+'DOE25'!G316</f>
        <v>60553.36</v>
      </c>
    </row>
    <row r="28" spans="1:3" x14ac:dyDescent="0.2">
      <c r="A28" t="s">
        <v>773</v>
      </c>
      <c r="B28" s="240">
        <v>120133</v>
      </c>
      <c r="C28" s="240">
        <v>60553.36</v>
      </c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120133</v>
      </c>
      <c r="C31" s="231">
        <f>SUM(C28:C30)</f>
        <v>60553.36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276215.36</v>
      </c>
      <c r="C36" s="235">
        <f>'DOE25'!G200+'DOE25'!G218+'DOE25'!G236+'DOE25'!G279+'DOE25'!G298+'DOE25'!G317</f>
        <v>69673.259999999995</v>
      </c>
    </row>
    <row r="37" spans="1:3" x14ac:dyDescent="0.2">
      <c r="A37" t="s">
        <v>773</v>
      </c>
      <c r="B37" s="240">
        <v>22628.62</v>
      </c>
      <c r="C37" s="240">
        <v>4711.13</v>
      </c>
    </row>
    <row r="38" spans="1:3" x14ac:dyDescent="0.2">
      <c r="A38" t="s">
        <v>774</v>
      </c>
      <c r="B38" s="240"/>
      <c r="C38" s="240"/>
    </row>
    <row r="39" spans="1:3" x14ac:dyDescent="0.2">
      <c r="A39" t="s">
        <v>775</v>
      </c>
      <c r="B39" s="240">
        <v>253586.74</v>
      </c>
      <c r="C39" s="240">
        <v>64962.13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276215.36</v>
      </c>
      <c r="C40" s="231">
        <f>SUM(C37:C39)</f>
        <v>69673.259999999995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Fall Mountain Regional School District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18505131.830000002</v>
      </c>
      <c r="D5" s="20">
        <f>SUM('DOE25'!L197:L200)+SUM('DOE25'!L215:L218)+SUM('DOE25'!L233:L236)-F5-G5</f>
        <v>18268263.880000003</v>
      </c>
      <c r="E5" s="243"/>
      <c r="F5" s="255">
        <f>SUM('DOE25'!J197:J200)+SUM('DOE25'!J215:J218)+SUM('DOE25'!J233:J236)</f>
        <v>215972.57</v>
      </c>
      <c r="G5" s="53">
        <f>SUM('DOE25'!K197:K200)+SUM('DOE25'!K215:K218)+SUM('DOE25'!K233:K236)</f>
        <v>20895.38</v>
      </c>
      <c r="H5" s="259"/>
    </row>
    <row r="6" spans="1:9" x14ac:dyDescent="0.2">
      <c r="A6" s="32">
        <v>2100</v>
      </c>
      <c r="B6" t="s">
        <v>795</v>
      </c>
      <c r="C6" s="245">
        <f t="shared" si="0"/>
        <v>1432708.33</v>
      </c>
      <c r="D6" s="20">
        <f>'DOE25'!L202+'DOE25'!L220+'DOE25'!L238-F6-G6</f>
        <v>1424745.48</v>
      </c>
      <c r="E6" s="243"/>
      <c r="F6" s="255">
        <f>'DOE25'!J202+'DOE25'!J220+'DOE25'!J238</f>
        <v>7325.85</v>
      </c>
      <c r="G6" s="53">
        <f>'DOE25'!K202+'DOE25'!K220+'DOE25'!K238</f>
        <v>637</v>
      </c>
      <c r="H6" s="259"/>
    </row>
    <row r="7" spans="1:9" x14ac:dyDescent="0.2">
      <c r="A7" s="32">
        <v>2200</v>
      </c>
      <c r="B7" t="s">
        <v>828</v>
      </c>
      <c r="C7" s="245">
        <f t="shared" si="0"/>
        <v>1301856.8899999999</v>
      </c>
      <c r="D7" s="20">
        <f>'DOE25'!L203+'DOE25'!L221+'DOE25'!L239-F7-G7</f>
        <v>1244909.23</v>
      </c>
      <c r="E7" s="243"/>
      <c r="F7" s="255">
        <f>'DOE25'!J203+'DOE25'!J221+'DOE25'!J239</f>
        <v>2813.46</v>
      </c>
      <c r="G7" s="53">
        <f>'DOE25'!K203+'DOE25'!K221+'DOE25'!K239</f>
        <v>54134.2</v>
      </c>
      <c r="H7" s="259"/>
    </row>
    <row r="8" spans="1:9" x14ac:dyDescent="0.2">
      <c r="A8" s="32">
        <v>2300</v>
      </c>
      <c r="B8" t="s">
        <v>796</v>
      </c>
      <c r="C8" s="245">
        <f t="shared" si="0"/>
        <v>187643.68000000014</v>
      </c>
      <c r="D8" s="243"/>
      <c r="E8" s="20">
        <f>'DOE25'!L204+'DOE25'!L222+'DOE25'!L240-F8-G8-D9-D11</f>
        <v>164200.04000000012</v>
      </c>
      <c r="F8" s="255">
        <f>'DOE25'!J204+'DOE25'!J222+'DOE25'!J240</f>
        <v>15569.66</v>
      </c>
      <c r="G8" s="53">
        <f>'DOE25'!K204+'DOE25'!K222+'DOE25'!K240</f>
        <v>7873.98</v>
      </c>
      <c r="H8" s="259"/>
    </row>
    <row r="9" spans="1:9" x14ac:dyDescent="0.2">
      <c r="A9" s="32">
        <v>2310</v>
      </c>
      <c r="B9" t="s">
        <v>812</v>
      </c>
      <c r="C9" s="245">
        <f t="shared" si="0"/>
        <v>101814.89</v>
      </c>
      <c r="D9" s="244">
        <v>101814.89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28188</v>
      </c>
      <c r="D10" s="243"/>
      <c r="E10" s="244">
        <v>28188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246211.53</v>
      </c>
      <c r="D11" s="244">
        <v>246211.53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1622977.6300000001</v>
      </c>
      <c r="D12" s="20">
        <f>'DOE25'!L205+'DOE25'!L223+'DOE25'!L241-F12-G12</f>
        <v>1603169.28</v>
      </c>
      <c r="E12" s="243"/>
      <c r="F12" s="255">
        <f>'DOE25'!J205+'DOE25'!J223+'DOE25'!J241</f>
        <v>12871.029999999999</v>
      </c>
      <c r="G12" s="53">
        <f>'DOE25'!K205+'DOE25'!K223+'DOE25'!K241</f>
        <v>6937.32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359972.04000000004</v>
      </c>
      <c r="D13" s="243"/>
      <c r="E13" s="20">
        <f>'DOE25'!L206+'DOE25'!L224+'DOE25'!L242-F13-G13</f>
        <v>351288.81</v>
      </c>
      <c r="F13" s="255">
        <f>'DOE25'!J206+'DOE25'!J224+'DOE25'!J242</f>
        <v>6987.7000000000007</v>
      </c>
      <c r="G13" s="53">
        <f>'DOE25'!K206+'DOE25'!K224+'DOE25'!K242</f>
        <v>1695.5299999999997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2827890.2600000002</v>
      </c>
      <c r="D14" s="20">
        <f>'DOE25'!L207+'DOE25'!L225+'DOE25'!L243-F14-G14</f>
        <v>2817626.45</v>
      </c>
      <c r="E14" s="243"/>
      <c r="F14" s="255">
        <f>'DOE25'!J207+'DOE25'!J225+'DOE25'!J243</f>
        <v>9664.57</v>
      </c>
      <c r="G14" s="53">
        <f>'DOE25'!K207+'DOE25'!K225+'DOE25'!K243</f>
        <v>599.24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1354648.21</v>
      </c>
      <c r="D15" s="20">
        <f>'DOE25'!L208+'DOE25'!L226+'DOE25'!L244-F15-G15</f>
        <v>1350288.79</v>
      </c>
      <c r="E15" s="243"/>
      <c r="F15" s="255">
        <f>'DOE25'!J208+'DOE25'!J226+'DOE25'!J244</f>
        <v>4359.42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354615</v>
      </c>
      <c r="D22" s="243"/>
      <c r="E22" s="243"/>
      <c r="F22" s="255">
        <f>'DOE25'!L255+'DOE25'!L336</f>
        <v>354615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127265</v>
      </c>
      <c r="D25" s="243"/>
      <c r="E25" s="243"/>
      <c r="F25" s="258"/>
      <c r="G25" s="256"/>
      <c r="H25" s="257">
        <f>'DOE25'!L260+'DOE25'!L261+'DOE25'!L341+'DOE25'!L342</f>
        <v>127265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569349.71000000008</v>
      </c>
      <c r="D29" s="20">
        <f>'DOE25'!L358+'DOE25'!L359+'DOE25'!L360-'DOE25'!I367-F29-G29</f>
        <v>567806.28</v>
      </c>
      <c r="E29" s="243"/>
      <c r="F29" s="255">
        <f>'DOE25'!J358+'DOE25'!J359+'DOE25'!J360</f>
        <v>1543.43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1174767.93</v>
      </c>
      <c r="D31" s="20">
        <f>'DOE25'!L290+'DOE25'!L309+'DOE25'!L328+'DOE25'!L333+'DOE25'!L334+'DOE25'!L335-F31-G31</f>
        <v>1102511.2699999998</v>
      </c>
      <c r="E31" s="243"/>
      <c r="F31" s="255">
        <f>'DOE25'!J290+'DOE25'!J309+'DOE25'!J328+'DOE25'!J333+'DOE25'!J334+'DOE25'!J335</f>
        <v>58218.3</v>
      </c>
      <c r="G31" s="53">
        <f>'DOE25'!K290+'DOE25'!K309+'DOE25'!K328+'DOE25'!K333+'DOE25'!K334+'DOE25'!K335</f>
        <v>14038.36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28727347.080000006</v>
      </c>
      <c r="E33" s="246">
        <f>SUM(E5:E31)</f>
        <v>543676.85000000009</v>
      </c>
      <c r="F33" s="246">
        <f>SUM(F5:F31)</f>
        <v>689940.99000000011</v>
      </c>
      <c r="G33" s="246">
        <f>SUM(G5:G31)</f>
        <v>106811.01000000001</v>
      </c>
      <c r="H33" s="246">
        <f>SUM(H5:H31)</f>
        <v>127265</v>
      </c>
    </row>
    <row r="35" spans="2:8" ht="12" thickBot="1" x14ac:dyDescent="0.25">
      <c r="B35" s="253" t="s">
        <v>841</v>
      </c>
      <c r="D35" s="254">
        <f>E33</f>
        <v>543676.85000000009</v>
      </c>
      <c r="E35" s="249"/>
    </row>
    <row r="36" spans="2:8" ht="12" thickTop="1" x14ac:dyDescent="0.2">
      <c r="B36" t="s">
        <v>809</v>
      </c>
      <c r="D36" s="20">
        <f>D33</f>
        <v>28727347.080000006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J40" sqref="J4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Fall Mountain Regional School District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2697760.18</v>
      </c>
      <c r="D8" s="95">
        <f>'DOE25'!G9</f>
        <v>0</v>
      </c>
      <c r="E8" s="95">
        <f>'DOE25'!H9</f>
        <v>61920.160000000003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2559435.5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17955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159498.09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13779.27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216861.67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279981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3367880.21</v>
      </c>
      <c r="D18" s="41">
        <f>SUM(D8:D17)</f>
        <v>0</v>
      </c>
      <c r="E18" s="41">
        <f>SUM(E8:E17)</f>
        <v>79875.16</v>
      </c>
      <c r="F18" s="41">
        <f>SUM(F8:F17)</f>
        <v>0</v>
      </c>
      <c r="G18" s="41">
        <f>SUM(G8:G17)</f>
        <v>2559435.5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48489.59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1006634.68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4470.78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1612153.12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433225.73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3104973.9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262906.31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79875.16</v>
      </c>
      <c r="F47" s="95">
        <f>'DOE25'!I48</f>
        <v>0</v>
      </c>
      <c r="G47" s="95">
        <f>'DOE25'!J48</f>
        <v>2559435.5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0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262906.31</v>
      </c>
      <c r="D50" s="41">
        <f>SUM(D34:D49)</f>
        <v>0</v>
      </c>
      <c r="E50" s="41">
        <f>SUM(E34:E49)</f>
        <v>79875.16</v>
      </c>
      <c r="F50" s="41">
        <f>SUM(F34:F49)</f>
        <v>0</v>
      </c>
      <c r="G50" s="41">
        <f>SUM(G34:G49)</f>
        <v>2559435.5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3367880.21</v>
      </c>
      <c r="D51" s="41">
        <f>D50+D31</f>
        <v>0</v>
      </c>
      <c r="E51" s="41">
        <f>E50+E31</f>
        <v>79875.16</v>
      </c>
      <c r="F51" s="41">
        <f>F50+F31</f>
        <v>0</v>
      </c>
      <c r="G51" s="41">
        <f>G50+G31</f>
        <v>2559435.5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16738094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648214.72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39639.97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31397.3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189220.02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22457.77</v>
      </c>
      <c r="D61" s="95">
        <f>SUM('DOE25'!G98:G110)</f>
        <v>0</v>
      </c>
      <c r="E61" s="95">
        <f>SUM('DOE25'!H98:H110)</f>
        <v>18944.419999999998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710312.46</v>
      </c>
      <c r="D62" s="130">
        <f>SUM(D57:D61)</f>
        <v>189220.02</v>
      </c>
      <c r="E62" s="130">
        <f>SUM(E57:E61)</f>
        <v>18944.419999999998</v>
      </c>
      <c r="F62" s="130">
        <f>SUM(F57:F61)</f>
        <v>0</v>
      </c>
      <c r="G62" s="130">
        <f>SUM(G57:G61)</f>
        <v>31397.3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17448406.460000001</v>
      </c>
      <c r="D63" s="22">
        <f>D56+D62</f>
        <v>189220.02</v>
      </c>
      <c r="E63" s="22">
        <f>E56+E62</f>
        <v>18944.419999999998</v>
      </c>
      <c r="F63" s="22">
        <f>F56+F62</f>
        <v>0</v>
      </c>
      <c r="G63" s="22">
        <f>G56+G62</f>
        <v>31397.3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7997843.8799999999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2140766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19381.48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10157991.359999999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57038.48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126681.98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89720.93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10106.61</v>
      </c>
      <c r="E77" s="95">
        <f>SUM('DOE25'!H131:H135)</f>
        <v>6500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273441.39</v>
      </c>
      <c r="D78" s="130">
        <f>SUM(D72:D77)</f>
        <v>10106.61</v>
      </c>
      <c r="E78" s="130">
        <f>SUM(E72:E77)</f>
        <v>6500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10431432.75</v>
      </c>
      <c r="D81" s="130">
        <f>SUM(D79:D80)+D78+D70</f>
        <v>10106.61</v>
      </c>
      <c r="E81" s="130">
        <f>SUM(E79:E80)+E78+E70</f>
        <v>6500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343787.82</v>
      </c>
      <c r="D88" s="95">
        <f>SUM('DOE25'!G153:G161)</f>
        <v>465956.02</v>
      </c>
      <c r="E88" s="95">
        <f>SUM('DOE25'!H153:H161)</f>
        <v>1145357.72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16000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343787.82</v>
      </c>
      <c r="D91" s="131">
        <f>SUM(D85:D90)</f>
        <v>465956.02</v>
      </c>
      <c r="E91" s="131">
        <f>SUM(E85:E90)</f>
        <v>1161357.72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210193.67</v>
      </c>
      <c r="E96" s="95">
        <f>'DOE25'!H179</f>
        <v>0</v>
      </c>
      <c r="F96" s="95">
        <f>'DOE25'!I179</f>
        <v>0</v>
      </c>
      <c r="G96" s="95">
        <f>'DOE25'!J179</f>
        <v>500000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354615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354615</v>
      </c>
      <c r="D103" s="86">
        <f>SUM(D93:D102)</f>
        <v>210193.67</v>
      </c>
      <c r="E103" s="86">
        <f>SUM(E93:E102)</f>
        <v>0</v>
      </c>
      <c r="F103" s="86">
        <f>SUM(F93:F102)</f>
        <v>0</v>
      </c>
      <c r="G103" s="86">
        <f>SUM(G93:G102)</f>
        <v>500000</v>
      </c>
    </row>
    <row r="104" spans="1:7" ht="12.75" thickTop="1" thickBot="1" x14ac:dyDescent="0.25">
      <c r="A104" s="33" t="s">
        <v>759</v>
      </c>
      <c r="C104" s="86">
        <f>C63+C81+C91+C103</f>
        <v>28578242.030000001</v>
      </c>
      <c r="D104" s="86">
        <f>D63+D81+D91+D103</f>
        <v>875476.32000000007</v>
      </c>
      <c r="E104" s="86">
        <f>E63+E81+E91+E103</f>
        <v>1186802.1399999999</v>
      </c>
      <c r="F104" s="86">
        <f>F63+F81+F91+F103</f>
        <v>0</v>
      </c>
      <c r="G104" s="86">
        <f>G63+G81+G103</f>
        <v>531397.30000000005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10979780.760000002</v>
      </c>
      <c r="D109" s="24" t="s">
        <v>286</v>
      </c>
      <c r="E109" s="95">
        <f>('DOE25'!L276)+('DOE25'!L295)+('DOE25'!L314)</f>
        <v>366819.04000000004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6735882.4800000004</v>
      </c>
      <c r="D110" s="24" t="s">
        <v>286</v>
      </c>
      <c r="E110" s="95">
        <f>('DOE25'!L277)+('DOE25'!L296)+('DOE25'!L315)</f>
        <v>19965.68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347050.44</v>
      </c>
      <c r="D111" s="24" t="s">
        <v>286</v>
      </c>
      <c r="E111" s="95">
        <f>('DOE25'!L278)+('DOE25'!L297)+('DOE25'!L316)</f>
        <v>42207.340000000004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442418.15</v>
      </c>
      <c r="D112" s="24" t="s">
        <v>286</v>
      </c>
      <c r="E112" s="95">
        <f>+('DOE25'!L279)+('DOE25'!L298)+('DOE25'!L317)</f>
        <v>48903.359999999993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18505131.830000002</v>
      </c>
      <c r="D115" s="86">
        <f>SUM(D109:D114)</f>
        <v>0</v>
      </c>
      <c r="E115" s="86">
        <f>SUM(E109:E114)</f>
        <v>477895.42000000004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1432708.33</v>
      </c>
      <c r="D118" s="24" t="s">
        <v>286</v>
      </c>
      <c r="E118" s="95">
        <f>+('DOE25'!L281)+('DOE25'!L300)+('DOE25'!L319)</f>
        <v>324643.93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1301856.8899999999</v>
      </c>
      <c r="D119" s="24" t="s">
        <v>286</v>
      </c>
      <c r="E119" s="95">
        <f>+('DOE25'!L282)+('DOE25'!L301)+('DOE25'!L320)</f>
        <v>299689.44999999995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535670.10000000009</v>
      </c>
      <c r="D120" s="24" t="s">
        <v>286</v>
      </c>
      <c r="E120" s="95">
        <f>+('DOE25'!L283)+('DOE25'!L302)+('DOE25'!L321)</f>
        <v>55667.159999999989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1622977.6300000001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359972.04000000004</v>
      </c>
      <c r="D122" s="24" t="s">
        <v>286</v>
      </c>
      <c r="E122" s="95">
        <f>+('DOE25'!L285)+('DOE25'!L304)+('DOE25'!L323)</f>
        <v>16871.97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2827890.2600000002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1354648.21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875476.32000000007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9435723.4600000009</v>
      </c>
      <c r="D128" s="86">
        <f>SUM(D118:D127)</f>
        <v>875476.32000000007</v>
      </c>
      <c r="E128" s="86">
        <f>SUM(E118:E127)</f>
        <v>696872.50999999989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354615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100000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27265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210193.67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513699.26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17698.04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-31397.300000000047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1192073.6700000002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29132928.960000005</v>
      </c>
      <c r="D145" s="86">
        <f>(D115+D128+D144)</f>
        <v>875476.32000000007</v>
      </c>
      <c r="E145" s="86">
        <f>(E115+E128+E144)</f>
        <v>1174767.93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2000000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3.99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800000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800000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100000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100000</v>
      </c>
    </row>
    <row r="159" spans="1:9" x14ac:dyDescent="0.2">
      <c r="A159" s="22" t="s">
        <v>35</v>
      </c>
      <c r="B159" s="137">
        <f>'DOE25'!F498</f>
        <v>700000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700000</v>
      </c>
    </row>
    <row r="160" spans="1:9" x14ac:dyDescent="0.2">
      <c r="A160" s="22" t="s">
        <v>36</v>
      </c>
      <c r="B160" s="137">
        <f>'DOE25'!F499</f>
        <v>105462.5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105462.5</v>
      </c>
    </row>
    <row r="161" spans="1:7" x14ac:dyDescent="0.2">
      <c r="A161" s="22" t="s">
        <v>37</v>
      </c>
      <c r="B161" s="137">
        <f>'DOE25'!F500</f>
        <v>805462.5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805462.5</v>
      </c>
    </row>
    <row r="162" spans="1:7" x14ac:dyDescent="0.2">
      <c r="A162" s="22" t="s">
        <v>38</v>
      </c>
      <c r="B162" s="137">
        <f>'DOE25'!F501</f>
        <v>100000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100000</v>
      </c>
    </row>
    <row r="163" spans="1:7" x14ac:dyDescent="0.2">
      <c r="A163" s="22" t="s">
        <v>39</v>
      </c>
      <c r="B163" s="137">
        <f>'DOE25'!F502</f>
        <v>27675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27675</v>
      </c>
    </row>
    <row r="164" spans="1:7" x14ac:dyDescent="0.2">
      <c r="A164" s="22" t="s">
        <v>246</v>
      </c>
      <c r="B164" s="137">
        <f>'DOE25'!F503</f>
        <v>127675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127675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topLeftCell="A7" zoomScale="125" zoomScaleNormal="125" workbookViewId="0">
      <selection activeCell="H26" sqref="H26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Fall Mountain Regional School District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18424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17349</v>
      </c>
    </row>
    <row r="7" spans="1:4" x14ac:dyDescent="0.2">
      <c r="B7" t="s">
        <v>699</v>
      </c>
      <c r="C7" s="179">
        <f>IF('DOE25'!I665+'DOE25'!I670=0,0,ROUND('DOE25'!I672,0))</f>
        <v>18080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11346600</v>
      </c>
      <c r="D10" s="182">
        <f>ROUND((C10/$C$28)*100,1)</f>
        <v>38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6755848</v>
      </c>
      <c r="D11" s="182">
        <f>ROUND((C11/$C$28)*100,1)</f>
        <v>22.6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389258</v>
      </c>
      <c r="D12" s="182">
        <f>ROUND((C12/$C$28)*100,1)</f>
        <v>1.3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491322</v>
      </c>
      <c r="D13" s="182">
        <f>ROUND((C13/$C$28)*100,1)</f>
        <v>1.6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1757352</v>
      </c>
      <c r="D15" s="182">
        <f t="shared" ref="D15:D27" si="0">ROUND((C15/$C$28)*100,1)</f>
        <v>5.9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1601546</v>
      </c>
      <c r="D16" s="182">
        <f t="shared" si="0"/>
        <v>5.4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591337</v>
      </c>
      <c r="D17" s="182">
        <f t="shared" si="0"/>
        <v>2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1622978</v>
      </c>
      <c r="D18" s="182">
        <f t="shared" si="0"/>
        <v>5.4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376844</v>
      </c>
      <c r="D19" s="182">
        <f t="shared" si="0"/>
        <v>1.3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2827890</v>
      </c>
      <c r="D20" s="182">
        <f t="shared" si="0"/>
        <v>9.5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1354648</v>
      </c>
      <c r="D21" s="182">
        <f t="shared" si="0"/>
        <v>4.5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27265</v>
      </c>
      <c r="D25" s="182">
        <f t="shared" si="0"/>
        <v>0.1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686255.98</v>
      </c>
      <c r="D27" s="182">
        <f t="shared" si="0"/>
        <v>2.2999999999999998</v>
      </c>
    </row>
    <row r="28" spans="1:4" x14ac:dyDescent="0.2">
      <c r="B28" s="187" t="s">
        <v>717</v>
      </c>
      <c r="C28" s="180">
        <f>SUM(C10:C27)</f>
        <v>29829143.98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354615</v>
      </c>
    </row>
    <row r="30" spans="1:4" x14ac:dyDescent="0.2">
      <c r="B30" s="187" t="s">
        <v>723</v>
      </c>
      <c r="C30" s="180">
        <f>SUM(C28:C29)</f>
        <v>30183758.98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100000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16738094</v>
      </c>
      <c r="D35" s="182">
        <f t="shared" ref="D35:D40" si="1">ROUND((C35/$C$41)*100,1)</f>
        <v>55.9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760654.1799999997</v>
      </c>
      <c r="D36" s="182">
        <f t="shared" si="1"/>
        <v>2.5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10138610</v>
      </c>
      <c r="D37" s="182">
        <f t="shared" si="1"/>
        <v>33.9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309429</v>
      </c>
      <c r="D38" s="182">
        <f t="shared" si="1"/>
        <v>1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1971102</v>
      </c>
      <c r="D39" s="182">
        <f t="shared" si="1"/>
        <v>6.6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29917889.18</v>
      </c>
      <c r="D41" s="184">
        <f>SUM(D35:D40)</f>
        <v>99.899999999999991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764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761</v>
      </c>
      <c r="B2" s="301"/>
      <c r="C2" s="301"/>
      <c r="D2" s="301"/>
      <c r="E2" s="301"/>
      <c r="F2" s="298" t="str">
        <f>'DOE25'!A2</f>
        <v>Fall Mountain Regional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6" t="s">
        <v>765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842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9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Welch, Matthew</cp:lastModifiedBy>
  <cp:lastPrinted>2018-09-18T13:48:42Z</cp:lastPrinted>
  <dcterms:created xsi:type="dcterms:W3CDTF">1997-12-04T19:04:30Z</dcterms:created>
  <dcterms:modified xsi:type="dcterms:W3CDTF">2018-12-03T18:40:16Z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