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15" yWindow="-15" windowWidth="12600" windowHeight="123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D9" i="13" l="1"/>
  <c r="B10" i="12" l="1"/>
  <c r="C10" i="12"/>
  <c r="C37" i="12"/>
  <c r="B37" i="12"/>
  <c r="C20" i="12"/>
  <c r="B20" i="12"/>
  <c r="C19" i="12"/>
  <c r="B19" i="12"/>
  <c r="B21" i="12"/>
  <c r="B11" i="12"/>
  <c r="F442" i="1" l="1"/>
  <c r="F465" i="1"/>
  <c r="F50" i="1" l="1"/>
  <c r="C12" i="12" l="1"/>
  <c r="B12" i="12"/>
  <c r="F499" i="1" l="1"/>
  <c r="F498" i="1"/>
  <c r="G465" i="1" l="1"/>
  <c r="G368" i="1"/>
  <c r="H368" i="1"/>
  <c r="F368" i="1"/>
  <c r="G158" i="1"/>
  <c r="F28" i="1" l="1"/>
  <c r="F185" i="1"/>
  <c r="F110" i="1"/>
  <c r="F29" i="1" l="1"/>
  <c r="F24" i="1"/>
  <c r="F18" i="1"/>
  <c r="F12" i="1"/>
  <c r="G17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L222" i="1"/>
  <c r="D39" i="13"/>
  <c r="F13" i="13"/>
  <c r="G13" i="13"/>
  <c r="L206" i="1"/>
  <c r="L224" i="1"/>
  <c r="L242" i="1"/>
  <c r="G16" i="13"/>
  <c r="L227" i="1"/>
  <c r="F5" i="13"/>
  <c r="L199" i="1"/>
  <c r="L200" i="1"/>
  <c r="L215" i="1"/>
  <c r="L216" i="1"/>
  <c r="L217" i="1"/>
  <c r="L218" i="1"/>
  <c r="L235" i="1"/>
  <c r="L236" i="1"/>
  <c r="F6" i="13"/>
  <c r="L220" i="1"/>
  <c r="F7" i="13"/>
  <c r="G7" i="13"/>
  <c r="L221" i="1"/>
  <c r="F12" i="13"/>
  <c r="G12" i="13"/>
  <c r="L223" i="1"/>
  <c r="L225" i="1"/>
  <c r="L226" i="1"/>
  <c r="G650" i="1" s="1"/>
  <c r="F17" i="13"/>
  <c r="G17" i="13"/>
  <c r="L251" i="1"/>
  <c r="F18" i="13"/>
  <c r="G18" i="13"/>
  <c r="L252" i="1"/>
  <c r="F19" i="13"/>
  <c r="G19" i="13"/>
  <c r="L253" i="1"/>
  <c r="F29" i="13"/>
  <c r="G29" i="13"/>
  <c r="L359" i="1"/>
  <c r="L360" i="1"/>
  <c r="I367" i="1"/>
  <c r="J309" i="1"/>
  <c r="K309" i="1"/>
  <c r="L278" i="1"/>
  <c r="L284" i="1"/>
  <c r="L285" i="1"/>
  <c r="L286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6" i="1"/>
  <c r="L322" i="1"/>
  <c r="L323" i="1"/>
  <c r="L324" i="1"/>
  <c r="L326" i="1"/>
  <c r="L333" i="1"/>
  <c r="L334" i="1"/>
  <c r="L335" i="1"/>
  <c r="L260" i="1"/>
  <c r="L261" i="1"/>
  <c r="C132" i="2" s="1"/>
  <c r="L341" i="1"/>
  <c r="E131" i="2" s="1"/>
  <c r="L342" i="1"/>
  <c r="E132" i="2" s="1"/>
  <c r="L255" i="1"/>
  <c r="C130" i="2" s="1"/>
  <c r="L336" i="1"/>
  <c r="E130" i="2" s="1"/>
  <c r="C11" i="13"/>
  <c r="C10" i="13"/>
  <c r="C9" i="13"/>
  <c r="L361" i="1"/>
  <c r="B4" i="12"/>
  <c r="B40" i="12"/>
  <c r="C40" i="12"/>
  <c r="B27" i="12"/>
  <c r="C27" i="12"/>
  <c r="B31" i="12"/>
  <c r="C31" i="12"/>
  <c r="B13" i="12"/>
  <c r="C13" i="12"/>
  <c r="B22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G663" i="1" s="1"/>
  <c r="L611" i="1"/>
  <c r="C40" i="10"/>
  <c r="F60" i="1"/>
  <c r="G60" i="1"/>
  <c r="D56" i="2" s="1"/>
  <c r="H60" i="1"/>
  <c r="I60" i="1"/>
  <c r="F56" i="2" s="1"/>
  <c r="F79" i="1"/>
  <c r="F94" i="1"/>
  <c r="C58" i="2" s="1"/>
  <c r="F111" i="1"/>
  <c r="G111" i="1"/>
  <c r="H79" i="1"/>
  <c r="E57" i="2" s="1"/>
  <c r="H94" i="1"/>
  <c r="E58" i="2" s="1"/>
  <c r="H111" i="1"/>
  <c r="I111" i="1"/>
  <c r="J111" i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D85" i="2" s="1"/>
  <c r="G162" i="1"/>
  <c r="H147" i="1"/>
  <c r="E85" i="2" s="1"/>
  <c r="H162" i="1"/>
  <c r="I147" i="1"/>
  <c r="F85" i="2" s="1"/>
  <c r="I162" i="1"/>
  <c r="L250" i="1"/>
  <c r="C113" i="2" s="1"/>
  <c r="L332" i="1"/>
  <c r="E113" i="2" s="1"/>
  <c r="L254" i="1"/>
  <c r="L268" i="1"/>
  <c r="C142" i="2" s="1"/>
  <c r="L269" i="1"/>
  <c r="C143" i="2" s="1"/>
  <c r="L349" i="1"/>
  <c r="E142" i="2" s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E137" i="2" s="1"/>
  <c r="L347" i="1"/>
  <c r="K351" i="1"/>
  <c r="L522" i="1"/>
  <c r="F550" i="1" s="1"/>
  <c r="L527" i="1"/>
  <c r="G550" i="1" s="1"/>
  <c r="L531" i="1"/>
  <c r="L532" i="1"/>
  <c r="H550" i="1" s="1"/>
  <c r="L533" i="1"/>
  <c r="H551" i="1" s="1"/>
  <c r="L536" i="1"/>
  <c r="I549" i="1" s="1"/>
  <c r="L537" i="1"/>
  <c r="I550" i="1" s="1"/>
  <c r="L538" i="1"/>
  <c r="I551" i="1" s="1"/>
  <c r="L542" i="1"/>
  <c r="J550" i="1" s="1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I456" i="1"/>
  <c r="J43" i="1" s="1"/>
  <c r="I457" i="1"/>
  <c r="J37" i="1" s="1"/>
  <c r="G36" i="2" s="1"/>
  <c r="I459" i="1"/>
  <c r="J48" i="1" s="1"/>
  <c r="G47" i="2" s="1"/>
  <c r="C49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D115" i="2"/>
  <c r="F115" i="2"/>
  <c r="G115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29" i="1"/>
  <c r="G229" i="1"/>
  <c r="H229" i="1"/>
  <c r="I229" i="1"/>
  <c r="J229" i="1"/>
  <c r="K229" i="1"/>
  <c r="F256" i="1"/>
  <c r="G256" i="1"/>
  <c r="H256" i="1"/>
  <c r="I256" i="1"/>
  <c r="J256" i="1"/>
  <c r="K256" i="1"/>
  <c r="F309" i="1"/>
  <c r="G309" i="1"/>
  <c r="H309" i="1"/>
  <c r="I309" i="1"/>
  <c r="F337" i="1"/>
  <c r="G337" i="1"/>
  <c r="H337" i="1"/>
  <c r="I337" i="1"/>
  <c r="J337" i="1"/>
  <c r="K337" i="1"/>
  <c r="F362" i="1"/>
  <c r="G362" i="1"/>
  <c r="H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H460" i="1"/>
  <c r="I474" i="1"/>
  <c r="K495" i="1"/>
  <c r="K496" i="1"/>
  <c r="K497" i="1"/>
  <c r="K498" i="1"/>
  <c r="K499" i="1"/>
  <c r="K501" i="1"/>
  <c r="K502" i="1"/>
  <c r="F517" i="1"/>
  <c r="G517" i="1"/>
  <c r="H517" i="1"/>
  <c r="I517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3" i="1"/>
  <c r="F565" i="1"/>
  <c r="G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I605" i="1"/>
  <c r="J605" i="1"/>
  <c r="F614" i="1"/>
  <c r="G614" i="1"/>
  <c r="H614" i="1"/>
  <c r="I614" i="1"/>
  <c r="J614" i="1"/>
  <c r="K614" i="1"/>
  <c r="G622" i="1"/>
  <c r="G623" i="1"/>
  <c r="H636" i="1"/>
  <c r="G643" i="1"/>
  <c r="G644" i="1"/>
  <c r="G652" i="1"/>
  <c r="H652" i="1"/>
  <c r="G653" i="1"/>
  <c r="H653" i="1"/>
  <c r="G654" i="1"/>
  <c r="H654" i="1"/>
  <c r="H655" i="1"/>
  <c r="I169" i="1"/>
  <c r="H663" i="1" l="1"/>
  <c r="H52" i="1"/>
  <c r="H619" i="1" s="1"/>
  <c r="H140" i="1"/>
  <c r="D19" i="13"/>
  <c r="C19" i="13" s="1"/>
  <c r="D18" i="13"/>
  <c r="C18" i="13" s="1"/>
  <c r="F18" i="2"/>
  <c r="E122" i="2"/>
  <c r="E125" i="2"/>
  <c r="L433" i="1"/>
  <c r="E121" i="2"/>
  <c r="C29" i="10"/>
  <c r="L570" i="1"/>
  <c r="F571" i="1"/>
  <c r="G81" i="2"/>
  <c r="E31" i="2"/>
  <c r="I52" i="1"/>
  <c r="H620" i="1" s="1"/>
  <c r="J620" i="1" s="1"/>
  <c r="I552" i="1"/>
  <c r="I369" i="1"/>
  <c r="H634" i="1" s="1"/>
  <c r="E123" i="2"/>
  <c r="J655" i="1"/>
  <c r="G62" i="2"/>
  <c r="G63" i="2" s="1"/>
  <c r="F461" i="1"/>
  <c r="H639" i="1" s="1"/>
  <c r="J639" i="1" s="1"/>
  <c r="G161" i="2"/>
  <c r="L539" i="1"/>
  <c r="L560" i="1"/>
  <c r="K571" i="1"/>
  <c r="L614" i="1"/>
  <c r="H461" i="1"/>
  <c r="H641" i="1" s="1"/>
  <c r="J641" i="1" s="1"/>
  <c r="G461" i="1"/>
  <c r="H640" i="1" s="1"/>
  <c r="J640" i="1"/>
  <c r="I452" i="1"/>
  <c r="G408" i="1"/>
  <c r="H645" i="1" s="1"/>
  <c r="H408" i="1"/>
  <c r="H644" i="1" s="1"/>
  <c r="J644" i="1" s="1"/>
  <c r="I408" i="1"/>
  <c r="F130" i="2"/>
  <c r="F144" i="2" s="1"/>
  <c r="F145" i="2" s="1"/>
  <c r="D62" i="2"/>
  <c r="D63" i="2" s="1"/>
  <c r="D31" i="2"/>
  <c r="K598" i="1"/>
  <c r="G647" i="1" s="1"/>
  <c r="G645" i="1"/>
  <c r="H192" i="1"/>
  <c r="G192" i="1"/>
  <c r="C91" i="2"/>
  <c r="H169" i="1"/>
  <c r="C78" i="2"/>
  <c r="J140" i="1"/>
  <c r="D81" i="2"/>
  <c r="F112" i="1"/>
  <c r="C57" i="2"/>
  <c r="C62" i="2" s="1"/>
  <c r="I112" i="1"/>
  <c r="G624" i="1"/>
  <c r="J617" i="1"/>
  <c r="L309" i="1"/>
  <c r="L270" i="1"/>
  <c r="C122" i="2"/>
  <c r="C112" i="2"/>
  <c r="C111" i="2"/>
  <c r="H549" i="1"/>
  <c r="H552" i="1" s="1"/>
  <c r="L534" i="1"/>
  <c r="C131" i="2"/>
  <c r="C32" i="10"/>
  <c r="H25" i="13"/>
  <c r="G164" i="2"/>
  <c r="G156" i="2"/>
  <c r="E56" i="2"/>
  <c r="H112" i="1"/>
  <c r="A31" i="12"/>
  <c r="E111" i="2"/>
  <c r="C12" i="10"/>
  <c r="K503" i="1"/>
  <c r="L427" i="1"/>
  <c r="L382" i="1"/>
  <c r="G636" i="1" s="1"/>
  <c r="J636" i="1" s="1"/>
  <c r="L256" i="1"/>
  <c r="F192" i="1"/>
  <c r="K550" i="1"/>
  <c r="C19" i="10"/>
  <c r="D91" i="2"/>
  <c r="C26" i="10"/>
  <c r="F78" i="2"/>
  <c r="F81" i="2" s="1"/>
  <c r="C70" i="2"/>
  <c r="L351" i="1"/>
  <c r="E13" i="13"/>
  <c r="C13" i="13" s="1"/>
  <c r="K500" i="1"/>
  <c r="E103" i="2"/>
  <c r="L419" i="1"/>
  <c r="G662" i="1"/>
  <c r="J571" i="1"/>
  <c r="F408" i="1"/>
  <c r="H643" i="1" s="1"/>
  <c r="J643" i="1" s="1"/>
  <c r="G157" i="2"/>
  <c r="E78" i="2"/>
  <c r="E81" i="2" s="1"/>
  <c r="E62" i="2"/>
  <c r="D50" i="2"/>
  <c r="C35" i="10"/>
  <c r="C56" i="2"/>
  <c r="E114" i="2"/>
  <c r="C114" i="2"/>
  <c r="D17" i="13"/>
  <c r="C17" i="13" s="1"/>
  <c r="I571" i="1"/>
  <c r="J49" i="1"/>
  <c r="G48" i="2" s="1"/>
  <c r="I460" i="1"/>
  <c r="J10" i="1"/>
  <c r="G9" i="2" s="1"/>
  <c r="I446" i="1"/>
  <c r="G642" i="1" s="1"/>
  <c r="D18" i="2"/>
  <c r="F169" i="1"/>
  <c r="G112" i="1"/>
  <c r="L393" i="1"/>
  <c r="C138" i="2" s="1"/>
  <c r="F22" i="13"/>
  <c r="C22" i="13" s="1"/>
  <c r="E134" i="2"/>
  <c r="E144" i="2" s="1"/>
  <c r="C18" i="2"/>
  <c r="L229" i="1"/>
  <c r="G625" i="1"/>
  <c r="L401" i="1"/>
  <c r="C139" i="2" s="1"/>
  <c r="C25" i="10"/>
  <c r="J11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G169" i="1"/>
  <c r="G140" i="1"/>
  <c r="F140" i="1"/>
  <c r="J618" i="1"/>
  <c r="G42" i="2"/>
  <c r="G16" i="2"/>
  <c r="H434" i="1"/>
  <c r="J619" i="1"/>
  <c r="D103" i="2"/>
  <c r="I140" i="1"/>
  <c r="J652" i="1"/>
  <c r="G571" i="1"/>
  <c r="I434" i="1"/>
  <c r="G434" i="1"/>
  <c r="J193" i="1" l="1"/>
  <c r="D51" i="2"/>
  <c r="L434" i="1"/>
  <c r="C81" i="2"/>
  <c r="G18" i="2"/>
  <c r="E51" i="2"/>
  <c r="J645" i="1"/>
  <c r="I461" i="1"/>
  <c r="H642" i="1" s="1"/>
  <c r="J642" i="1" s="1"/>
  <c r="G50" i="2"/>
  <c r="G51" i="2" s="1"/>
  <c r="J19" i="1"/>
  <c r="G621" i="1" s="1"/>
  <c r="G638" i="1"/>
  <c r="J472" i="1"/>
  <c r="L408" i="1"/>
  <c r="J468" i="1" s="1"/>
  <c r="G104" i="2"/>
  <c r="I193" i="1"/>
  <c r="G630" i="1" s="1"/>
  <c r="H193" i="1"/>
  <c r="H468" i="1" s="1"/>
  <c r="F104" i="2"/>
  <c r="F193" i="1"/>
  <c r="F468" i="1" s="1"/>
  <c r="G646" i="1"/>
  <c r="C36" i="10"/>
  <c r="D104" i="2"/>
  <c r="G660" i="1"/>
  <c r="J51" i="1"/>
  <c r="G626" i="1" s="1"/>
  <c r="C141" i="2"/>
  <c r="C144" i="2" s="1"/>
  <c r="F51" i="2"/>
  <c r="E63" i="2"/>
  <c r="E104" i="2" s="1"/>
  <c r="C39" i="10"/>
  <c r="C63" i="2"/>
  <c r="C25" i="13"/>
  <c r="H33" i="13"/>
  <c r="C51" i="2"/>
  <c r="G631" i="1"/>
  <c r="G193" i="1"/>
  <c r="C38" i="10"/>
  <c r="C104" i="2" l="1"/>
  <c r="J52" i="1"/>
  <c r="H621" i="1" s="1"/>
  <c r="J621" i="1" s="1"/>
  <c r="H638" i="1"/>
  <c r="J638" i="1" s="1"/>
  <c r="J474" i="1"/>
  <c r="G637" i="1"/>
  <c r="H646" i="1"/>
  <c r="J646" i="1" s="1"/>
  <c r="I468" i="1"/>
  <c r="I470" i="1" s="1"/>
  <c r="I476" i="1" s="1"/>
  <c r="H625" i="1" s="1"/>
  <c r="J625" i="1" s="1"/>
  <c r="G629" i="1"/>
  <c r="G627" i="1"/>
  <c r="H637" i="1"/>
  <c r="J470" i="1"/>
  <c r="H631" i="1"/>
  <c r="J631" i="1" s="1"/>
  <c r="H470" i="1"/>
  <c r="H629" i="1"/>
  <c r="G628" i="1"/>
  <c r="G468" i="1"/>
  <c r="F470" i="1"/>
  <c r="H627" i="1"/>
  <c r="C41" i="10"/>
  <c r="D38" i="10" s="1"/>
  <c r="J476" i="1" l="1"/>
  <c r="H626" i="1" s="1"/>
  <c r="J626" i="1" s="1"/>
  <c r="J637" i="1"/>
  <c r="H630" i="1"/>
  <c r="J630" i="1" s="1"/>
  <c r="J629" i="1"/>
  <c r="J627" i="1"/>
  <c r="H628" i="1"/>
  <c r="J628" i="1" s="1"/>
  <c r="G470" i="1"/>
  <c r="D37" i="10"/>
  <c r="D36" i="10"/>
  <c r="D35" i="10"/>
  <c r="D40" i="10"/>
  <c r="D39" i="10"/>
  <c r="D41" i="10" l="1"/>
  <c r="L358" i="1" l="1"/>
  <c r="I362" i="1"/>
  <c r="G634" i="1" s="1"/>
  <c r="J634" i="1" s="1"/>
  <c r="G15" i="13"/>
  <c r="G661" i="1" l="1"/>
  <c r="G664" i="1" s="1"/>
  <c r="D127" i="2"/>
  <c r="D128" i="2" s="1"/>
  <c r="D145" i="2" s="1"/>
  <c r="L362" i="1"/>
  <c r="D29" i="13"/>
  <c r="C29" i="13" s="1"/>
  <c r="H661" i="1"/>
  <c r="F661" i="1"/>
  <c r="L240" i="1"/>
  <c r="F14" i="13"/>
  <c r="F8" i="13"/>
  <c r="L239" i="1"/>
  <c r="L245" i="1"/>
  <c r="J247" i="1"/>
  <c r="G14" i="13"/>
  <c r="L238" i="1"/>
  <c r="G247" i="1"/>
  <c r="L241" i="1"/>
  <c r="I247" i="1"/>
  <c r="L205" i="1"/>
  <c r="L234" i="1"/>
  <c r="K247" i="1" l="1"/>
  <c r="G8" i="13"/>
  <c r="I661" i="1"/>
  <c r="C27" i="10"/>
  <c r="G635" i="1"/>
  <c r="G472" i="1"/>
  <c r="G672" i="1"/>
  <c r="C5" i="10" s="1"/>
  <c r="G667" i="1"/>
  <c r="L243" i="1"/>
  <c r="L207" i="1"/>
  <c r="L244" i="1"/>
  <c r="G651" i="1" s="1"/>
  <c r="J651" i="1" s="1"/>
  <c r="C121" i="2"/>
  <c r="C18" i="10"/>
  <c r="D12" i="13"/>
  <c r="C12" i="13" s="1"/>
  <c r="G6" i="13"/>
  <c r="F247" i="1"/>
  <c r="L233" i="1"/>
  <c r="H247" i="1"/>
  <c r="F16" i="13"/>
  <c r="C20" i="10" l="1"/>
  <c r="D14" i="13"/>
  <c r="C14" i="13" s="1"/>
  <c r="C123" i="2"/>
  <c r="H635" i="1"/>
  <c r="J635" i="1" s="1"/>
  <c r="G474" i="1"/>
  <c r="G476" i="1" s="1"/>
  <c r="H623" i="1" s="1"/>
  <c r="J623" i="1" s="1"/>
  <c r="L209" i="1"/>
  <c r="C125" i="2" s="1"/>
  <c r="L208" i="1"/>
  <c r="G649" i="1" s="1"/>
  <c r="J649" i="1" s="1"/>
  <c r="L202" i="1"/>
  <c r="L247" i="1"/>
  <c r="L197" i="1"/>
  <c r="F211" i="1"/>
  <c r="F257" i="1" s="1"/>
  <c r="F271" i="1" s="1"/>
  <c r="L198" i="1"/>
  <c r="H211" i="1"/>
  <c r="H257" i="1" s="1"/>
  <c r="H271" i="1" s="1"/>
  <c r="K211" i="1"/>
  <c r="K257" i="1" s="1"/>
  <c r="K271" i="1" s="1"/>
  <c r="G5" i="13"/>
  <c r="G211" i="1"/>
  <c r="G257" i="1" s="1"/>
  <c r="G271" i="1" s="1"/>
  <c r="F15" i="13"/>
  <c r="J211" i="1"/>
  <c r="L204" i="1"/>
  <c r="L203" i="1"/>
  <c r="I211" i="1"/>
  <c r="I257" i="1" s="1"/>
  <c r="I271" i="1" s="1"/>
  <c r="E16" i="13" l="1"/>
  <c r="C16" i="13" s="1"/>
  <c r="C109" i="2"/>
  <c r="D6" i="13"/>
  <c r="C6" i="13" s="1"/>
  <c r="C124" i="2"/>
  <c r="C118" i="2"/>
  <c r="J257" i="1"/>
  <c r="J271" i="1" s="1"/>
  <c r="H647" i="1"/>
  <c r="J647" i="1" s="1"/>
  <c r="L211" i="1"/>
  <c r="C110" i="2"/>
  <c r="D5" i="13"/>
  <c r="D15" i="13"/>
  <c r="C15" i="13" s="1"/>
  <c r="E8" i="13"/>
  <c r="C120" i="2"/>
  <c r="D7" i="13"/>
  <c r="C7" i="13" s="1"/>
  <c r="C119" i="2"/>
  <c r="C115" i="2" l="1"/>
  <c r="C128" i="2"/>
  <c r="L257" i="1"/>
  <c r="L271" i="1" s="1"/>
  <c r="F472" i="1" s="1"/>
  <c r="C5" i="13"/>
  <c r="C8" i="13"/>
  <c r="E33" i="13"/>
  <c r="D35" i="13" s="1"/>
  <c r="C145" i="2" l="1"/>
  <c r="G632" i="1"/>
  <c r="F474" i="1"/>
  <c r="F476" i="1" s="1"/>
  <c r="H622" i="1" s="1"/>
  <c r="J622" i="1" s="1"/>
  <c r="H632" i="1"/>
  <c r="J632" i="1" l="1"/>
  <c r="L317" i="1" l="1"/>
  <c r="L320" i="1"/>
  <c r="L321" i="1"/>
  <c r="J328" i="1"/>
  <c r="I328" i="1"/>
  <c r="H328" i="1"/>
  <c r="L315" i="1"/>
  <c r="L325" i="1"/>
  <c r="H662" i="1" s="1"/>
  <c r="G328" i="1" l="1"/>
  <c r="C36" i="12"/>
  <c r="C18" i="12"/>
  <c r="L282" i="1" l="1"/>
  <c r="C16" i="10" s="1"/>
  <c r="J290" i="1"/>
  <c r="L281" i="1"/>
  <c r="F290" i="1"/>
  <c r="L276" i="1"/>
  <c r="B9" i="12"/>
  <c r="B18" i="12"/>
  <c r="A22" i="12" s="1"/>
  <c r="L277" i="1"/>
  <c r="F328" i="1"/>
  <c r="L314" i="1"/>
  <c r="B36" i="12"/>
  <c r="A40" i="12" s="1"/>
  <c r="L279" i="1"/>
  <c r="H290" i="1"/>
  <c r="H338" i="1" s="1"/>
  <c r="H352" i="1" s="1"/>
  <c r="L287" i="1"/>
  <c r="I290" i="1"/>
  <c r="I338" i="1" s="1"/>
  <c r="I352" i="1" s="1"/>
  <c r="K290" i="1"/>
  <c r="G290" i="1"/>
  <c r="G338" i="1" s="1"/>
  <c r="G352" i="1" s="1"/>
  <c r="C9" i="12"/>
  <c r="L283" i="1"/>
  <c r="A13" i="12" l="1"/>
  <c r="E119" i="2"/>
  <c r="L290" i="1"/>
  <c r="C10" i="10"/>
  <c r="E109" i="2"/>
  <c r="F662" i="1"/>
  <c r="I662" i="1" s="1"/>
  <c r="C21" i="10"/>
  <c r="E124" i="2"/>
  <c r="F338" i="1"/>
  <c r="F352" i="1" s="1"/>
  <c r="K328" i="1"/>
  <c r="K338" i="1" s="1"/>
  <c r="K352" i="1" s="1"/>
  <c r="L319" i="1"/>
  <c r="L328" i="1" s="1"/>
  <c r="C13" i="10"/>
  <c r="E112" i="2"/>
  <c r="F31" i="13"/>
  <c r="F33" i="13" s="1"/>
  <c r="J338" i="1"/>
  <c r="C17" i="10"/>
  <c r="E120" i="2"/>
  <c r="E110" i="2"/>
  <c r="C11" i="10"/>
  <c r="E118" i="2" l="1"/>
  <c r="E128" i="2" s="1"/>
  <c r="H660" i="1"/>
  <c r="H664" i="1" s="1"/>
  <c r="H667" i="1" s="1"/>
  <c r="C15" i="10"/>
  <c r="G31" i="13"/>
  <c r="G33" i="13" s="1"/>
  <c r="J352" i="1"/>
  <c r="H604" i="1" s="1"/>
  <c r="H648" i="1"/>
  <c r="E115" i="2"/>
  <c r="F660" i="1"/>
  <c r="L338" i="1"/>
  <c r="E145" i="2" l="1"/>
  <c r="H672" i="1"/>
  <c r="C6" i="10" s="1"/>
  <c r="C28" i="10"/>
  <c r="D15" i="10" s="1"/>
  <c r="L352" i="1"/>
  <c r="K604" i="1"/>
  <c r="K605" i="1" s="1"/>
  <c r="G648" i="1" s="1"/>
  <c r="J648" i="1" s="1"/>
  <c r="H605" i="1"/>
  <c r="F663" i="1"/>
  <c r="I663" i="1" s="1"/>
  <c r="D31" i="13"/>
  <c r="I660" i="1"/>
  <c r="C31" i="13" l="1"/>
  <c r="D33" i="13"/>
  <c r="D36" i="13" s="1"/>
  <c r="H472" i="1"/>
  <c r="G633" i="1"/>
  <c r="I664" i="1"/>
  <c r="F664" i="1"/>
  <c r="D25" i="10"/>
  <c r="D27" i="10"/>
  <c r="D23" i="10"/>
  <c r="D20" i="10"/>
  <c r="D12" i="10"/>
  <c r="D26" i="10"/>
  <c r="D16" i="10"/>
  <c r="D18" i="10"/>
  <c r="D19" i="10"/>
  <c r="D22" i="10"/>
  <c r="D24" i="10"/>
  <c r="C30" i="10"/>
  <c r="D17" i="10"/>
  <c r="D13" i="10"/>
  <c r="D11" i="10"/>
  <c r="D10" i="10"/>
  <c r="D21" i="10"/>
  <c r="H474" i="1" l="1"/>
  <c r="H476" i="1" s="1"/>
  <c r="H624" i="1" s="1"/>
  <c r="H633" i="1"/>
  <c r="J633" i="1" s="1"/>
  <c r="F672" i="1"/>
  <c r="C4" i="10" s="1"/>
  <c r="F667" i="1"/>
  <c r="I672" i="1"/>
  <c r="C7" i="10" s="1"/>
  <c r="I667" i="1"/>
  <c r="D28" i="10"/>
  <c r="H656" i="1" l="1"/>
  <c r="J624" i="1"/>
  <c r="J529" i="1"/>
  <c r="K524" i="1" l="1"/>
  <c r="F524" i="1"/>
  <c r="I524" i="1"/>
  <c r="G524" i="1"/>
  <c r="K529" i="1" l="1"/>
  <c r="K545" i="1" s="1"/>
  <c r="J524" i="1"/>
  <c r="J545" i="1" s="1"/>
  <c r="G529" i="1"/>
  <c r="G544" i="1"/>
  <c r="F544" i="1"/>
  <c r="L543" i="1"/>
  <c r="J551" i="1" s="1"/>
  <c r="H544" i="1"/>
  <c r="H529" i="1" l="1"/>
  <c r="G545" i="1"/>
  <c r="F529" i="1"/>
  <c r="F545" i="1" s="1"/>
  <c r="L526" i="1"/>
  <c r="L541" i="1"/>
  <c r="L564" i="1"/>
  <c r="L523" i="1"/>
  <c r="F551" i="1" s="1"/>
  <c r="J549" i="1" l="1"/>
  <c r="J552" i="1" s="1"/>
  <c r="L544" i="1"/>
  <c r="G549" i="1"/>
  <c r="H524" i="1"/>
  <c r="H545" i="1" s="1"/>
  <c r="L521" i="1"/>
  <c r="L562" i="1"/>
  <c r="L565" i="1" s="1"/>
  <c r="L571" i="1" s="1"/>
  <c r="H565" i="1"/>
  <c r="H571" i="1" s="1"/>
  <c r="L528" i="1" l="1"/>
  <c r="I529" i="1"/>
  <c r="I545" i="1" s="1"/>
  <c r="F549" i="1"/>
  <c r="L524" i="1"/>
  <c r="G551" i="1" l="1"/>
  <c r="L529" i="1"/>
  <c r="L545" i="1" s="1"/>
  <c r="F552" i="1"/>
  <c r="K549" i="1"/>
  <c r="K551" i="1" l="1"/>
  <c r="G552" i="1"/>
  <c r="K552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<sst xmlns="http://schemas.openxmlformats.org/spreadsheetml/2006/main" count="3961" uniqueCount="917">
  <si>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</si>
  <si>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</si>
  <si>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</si>
  <si>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</si>
  <si>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</si>
  <si>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</si>
  <si>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</si>
  <si>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</si>
  <si>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</si>
  <si>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</si>
  <si>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</si>
  <si>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</si>
  <si>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</si>
  <si>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</si>
  <si>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</si>
  <si>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</si>
  <si>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</si>
  <si>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</si>
  <si>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</si>
  <si>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</si>
  <si>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</si>
  <si>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</si>
  <si>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</si>
  <si>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</si>
  <si>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</si>
  <si>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</si>
  <si>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</si>
  <si>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</si>
  <si>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</si>
  <si>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</si>
  <si>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</si>
  <si>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</si>
  <si>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</si>
  <si>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</si>
  <si>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</si>
  <si>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</si>
  <si>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</si>
  <si>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</si>
  <si>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</si>
  <si>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</si>
  <si>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</si>
  <si>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</si>
  <si>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</si>
  <si>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</si>
  <si>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</si>
  <si>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</si>
  <si>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</si>
  <si>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</si>
  <si>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</si>
  <si>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</si>
  <si>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</si>
  <si>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</si>
  <si>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</si>
  <si>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</si>
  <si>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</si>
  <si>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</si>
  <si>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</si>
  <si>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</si>
  <si>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</si>
  <si>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</si>
  <si>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</si>
  <si>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</si>
  <si>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</si>
  <si>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</si>
  <si>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</si>
  <si>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</si>
  <si>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</si>
  <si>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</si>
  <si>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</si>
  <si>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</si>
  <si>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</si>
  <si>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</si>
  <si>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</si>
  <si>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</si>
  <si>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</si>
  <si>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</si>
  <si>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</si>
  <si>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</si>
  <si>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</si>
  <si>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</si>
  <si>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</si>
  <si>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</si>
  <si>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</si>
  <si>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</si>
  <si>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</si>
  <si>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</si>
  <si>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</si>
  <si>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</si>
  <si>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</si>
  <si>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</si>
  <si>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</si>
  <si>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</si>
  <si>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</si>
  <si>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</si>
  <si>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</si>
  <si>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</si>
  <si>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</si>
  <si>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</si>
  <si>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</si>
  <si>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</si>
  <si>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</si>
  <si>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</si>
  <si>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</si>
  <si>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</si>
  <si>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</si>
  <si>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</si>
  <si>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</si>
  <si>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</si>
  <si>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</si>
  <si>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</si>
  <si>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</si>
  <si>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</si>
  <si>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</si>
  <si>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</si>
  <si>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</si>
  <si>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</si>
  <si>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</si>
  <si>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</si>
  <si>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</si>
  <si>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</si>
  <si>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</si>
  <si>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</si>
  <si>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</si>
  <si>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</si>
  <si>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</si>
  <si>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</si>
  <si>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</si>
  <si>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</si>
  <si>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</si>
  <si>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</si>
  <si>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</si>
  <si>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</si>
  <si>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</si>
  <si>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</si>
  <si>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</si>
  <si>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</si>
  <si>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</si>
  <si>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</si>
  <si>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</si>
  <si>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</si>
  <si>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</si>
  <si>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</si>
  <si>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</si>
  <si>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</si>
  <si>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</si>
  <si>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</si>
  <si>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</si>
  <si>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</si>
  <si>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</si>
  <si>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</si>
  <si>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</si>
  <si>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</si>
  <si>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</si>
  <si>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</si>
  <si>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</si>
  <si>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</si>
  <si>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</si>
  <si>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</si>
  <si>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</si>
  <si>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</si>
  <si>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</si>
  <si>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</si>
  <si>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</si>
  <si>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</si>
  <si>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</si>
  <si>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</si>
  <si>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</si>
  <si>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</si>
  <si>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</si>
  <si>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</si>
  <si>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</si>
  <si>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</si>
  <si>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</si>
  <si>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</si>
  <si>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</si>
  <si>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</si>
  <si>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</si>
  <si>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</si>
  <si>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</si>
  <si>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</si>
  <si>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</si>
  <si>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</si>
  <si>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</si>
  <si>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</si>
  <si>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</si>
  <si>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</si>
  <si>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</si>
  <si>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</si>
  <si>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</si>
  <si>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</si>
  <si>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</si>
  <si>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</si>
  <si>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</si>
  <si>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</si>
  <si>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</si>
  <si>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</si>
  <si>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</si>
  <si>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</si>
  <si>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</si>
  <si>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</si>
  <si>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</si>
  <si>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</si>
  <si>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</si>
  <si>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</si>
  <si>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</si>
  <si>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</si>
  <si>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</si>
  <si>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</si>
  <si>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</si>
  <si>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</si>
  <si>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</si>
  <si>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</si>
  <si>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</si>
  <si>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</si>
  <si>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</si>
  <si>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</si>
  <si>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</si>
  <si>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</si>
  <si>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</si>
  <si>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</si>
  <si>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</si>
  <si>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</si>
  <si>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</si>
  <si>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</si>
  <si>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</si>
  <si>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</si>
  <si>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</si>
  <si>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</si>
  <si>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</si>
  <si>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</si>
  <si>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</si>
  <si>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</si>
  <si>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</si>
  <si>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</si>
  <si>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</si>
  <si>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</si>
  <si>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</si>
  <si>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</si>
  <si>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</si>
  <si>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</si>
  <si>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</si>
  <si>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</si>
  <si>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</si>
  <si>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</si>
  <si>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</si>
  <si>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</si>
  <si>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</si>
  <si>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</si>
  <si>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</si>
  <si>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</si>
  <si>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</si>
  <si>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</si>
  <si>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</si>
  <si>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</si>
  <si>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</si>
  <si>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</si>
  <si>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</si>
  <si>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</si>
  <si>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</si>
  <si>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</si>
  <si>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</si>
  <si>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</si>
  <si>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</si>
  <si>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</si>
  <si>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</si>
  <si>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</si>
  <si>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</si>
  <si>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</si>
  <si>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</si>
  <si>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</si>
  <si>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</si>
  <si>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</si>
  <si>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</si>
  <si>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</si>
  <si>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</si>
  <si>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</si>
  <si>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</si>
  <si>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</si>
  <si>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</si>
  <si>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</si>
  <si>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</si>
  <si>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</si>
  <si>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</si>
  <si>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</si>
  <si>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</si>
  <si>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</si>
  <si>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</si>
  <si>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</si>
  <si>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</si>
  <si>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</si>
  <si>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</si>
  <si>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</si>
  <si>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</si>
  <si>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</si>
  <si>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</si>
  <si>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</si>
  <si>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</si>
  <si>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</si>
  <si>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</si>
  <si>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</si>
  <si>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</si>
  <si>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</si>
  <si>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</si>
  <si>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</si>
  <si>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</si>
  <si>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</si>
  <si>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</si>
  <si>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</si>
  <si>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</si>
  <si>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</si>
  <si>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</si>
  <si>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</si>
  <si>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</si>
  <si>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</si>
  <si>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</si>
  <si>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</si>
  <si>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</si>
  <si>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</si>
  <si>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</si>
  <si>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</si>
  <si>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</si>
  <si>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</si>
  <si>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</si>
  <si>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</si>
  <si>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</si>
  <si>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</si>
  <si>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</si>
  <si>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</si>
  <si>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</si>
  <si>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</si>
  <si>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</si>
  <si>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</si>
  <si>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</si>
  <si>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</si>
  <si>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</si>
  <si>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</si>
  <si>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</si>
  <si>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</si>
  <si>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</si>
  <si>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</si>
  <si>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</si>
  <si>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</si>
  <si>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</si>
  <si>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</si>
  <si>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</si>
  <si>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</si>
  <si>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</si>
  <si>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</si>
  <si>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</si>
  <si>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</si>
  <si>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</si>
  <si>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</si>
  <si>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</si>
  <si>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</si>
  <si>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</si>
  <si>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</si>
  <si>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</si>
  <si>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</si>
  <si>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</si>
  <si>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</si>
  <si>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</si>
  <si>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</si>
  <si>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</si>
  <si>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</si>
  <si>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</si>
  <si>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</si>
  <si>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</si>
  <si>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</si>
  <si>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</si>
  <si>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</si>
  <si>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</si>
  <si>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</si>
  <si>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</si>
  <si>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</si>
  <si>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</si>
  <si>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</si>
  <si>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</si>
  <si>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</si>
  <si>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</si>
  <si>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</si>
  <si>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</si>
  <si>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</si>
  <si>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</si>
  <si>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</si>
  <si>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</si>
  <si>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</si>
  <si>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</si>
  <si>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</si>
  <si>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</si>
  <si>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</si>
  <si>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</si>
  <si>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</si>
  <si>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</si>
  <si>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</si>
  <si>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</si>
  <si>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</si>
  <si>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</si>
  <si>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</si>
  <si>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</si>
  <si>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</si>
  <si>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</si>
  <si>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</si>
  <si>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</si>
  <si>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</si>
  <si>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</si>
  <si>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</si>
  <si>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</si>
  <si>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</si>
  <si>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</si>
  <si>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</si>
  <si>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</si>
  <si>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</si>
  <si>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</si>
  <si>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</si>
  <si>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</si>
  <si>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</si>
  <si>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</si>
  <si>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</si>
  <si>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</si>
  <si>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</si>
  <si>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</si>
  <si>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</si>
  <si>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</si>
  <si>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</si>
  <si>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</si>
  <si>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</si>
  <si>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</si>
  <si>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</si>
  <si>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</si>
  <si>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</si>
  <si>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</si>
  <si>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</si>
  <si>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</si>
  <si>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</si>
  <si>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</si>
  <si>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</si>
  <si>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</si>
  <si>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</si>
  <si>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</si>
  <si>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</si>
  <si>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</si>
  <si>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</si>
  <si>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</si>
  <si>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</si>
  <si>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</si>
  <si>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</si>
  <si>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</si>
  <si>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</si>
  <si>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</si>
  <si>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</si>
  <si>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</si>
  <si>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</si>
  <si>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</si>
  <si>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</si>
  <si>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</si>
  <si>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</si>
  <si>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</si>
  <si>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</si>
  <si>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</si>
  <si>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</si>
  <si>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</si>
  <si>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</si>
  <si>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</si>
  <si>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</si>
  <si>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</si>
  <si>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</si>
  <si>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</si>
  <si>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</si>
  <si>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</si>
  <si>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</si>
  <si>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</si>
  <si>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</si>
  <si>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</si>
  <si>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</si>
  <si>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</si>
  <si>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</si>
  <si>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</si>
  <si>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</si>
  <si>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</si>
  <si>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</si>
  <si>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</si>
  <si>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</si>
  <si>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</si>
  <si>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</si>
  <si>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</si>
  <si>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</si>
  <si>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</si>
  <si>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</si>
  <si>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</si>
  <si>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</si>
  <si>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</si>
  <si>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</si>
  <si>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</si>
  <si>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</si>
  <si>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</si>
  <si>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</si>
  <si>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</si>
  <si>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</si>
  <si>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</si>
  <si>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</si>
  <si>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</si>
  <si>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</si>
  <si>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</si>
  <si>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</si>
  <si>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</si>
  <si>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</si>
  <si>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</si>
  <si>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</si>
  <si>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</si>
  <si>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</si>
  <si>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</si>
  <si>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</si>
  <si>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</si>
  <si>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</si>
  <si>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</si>
  <si>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</si>
  <si>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</si>
  <si>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</si>
  <si>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</si>
  <si>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</si>
  <si>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</si>
  <si>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</si>
  <si>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</si>
  <si>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</si>
  <si>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</si>
  <si>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</si>
  <si>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</si>
  <si>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</si>
  <si>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</si>
  <si>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</si>
  <si>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</si>
  <si>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</si>
  <si>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</si>
  <si>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</si>
  <si>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</si>
  <si>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</si>
  <si>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</si>
  <si>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</si>
  <si>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</si>
  <si>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</si>
  <si>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</si>
  <si>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</si>
  <si>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</si>
  <si>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</si>
  <si>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</si>
  <si>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</si>
  <si>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</si>
  <si>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</si>
  <si>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</si>
  <si>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</si>
  <si>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</si>
  <si>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</si>
  <si>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</si>
  <si>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</si>
  <si>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</si>
  <si>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</si>
  <si>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</si>
  <si>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</si>
  <si>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</si>
  <si>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</si>
  <si>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</si>
  <si>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</si>
  <si>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</si>
  <si>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</si>
  <si>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</si>
  <si>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</si>
  <si>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</si>
  <si>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</si>
  <si>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</si>
  <si>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</si>
  <si>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</si>
  <si>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</si>
  <si>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</si>
  <si>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</si>
  <si>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</si>
  <si>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</si>
  <si>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</si>
  <si>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</si>
  <si>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</si>
  <si>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</si>
  <si>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</si>
  <si>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</si>
  <si>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</si>
  <si>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</si>
  <si>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</si>
  <si>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</si>
  <si>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</si>
  <si>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</si>
  <si>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</si>
  <si>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</si>
  <si>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</si>
  <si>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</si>
  <si>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</si>
  <si>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</si>
  <si>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</si>
  <si>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</si>
  <si>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</si>
  <si>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</si>
  <si>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</si>
  <si>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</si>
  <si>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</si>
  <si>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</si>
  <si>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</si>
  <si>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</si>
  <si>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</si>
  <si>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</si>
  <si>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</si>
  <si>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</si>
  <si>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</si>
  <si>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</si>
  <si>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</si>
  <si>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</si>
  <si>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</si>
  <si>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</si>
  <si>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</si>
  <si>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</si>
  <si>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</si>
  <si>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</si>
  <si>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</si>
  <si>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</si>
  <si>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</si>
  <si>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</si>
  <si>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</si>
  <si>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</si>
  <si>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</si>
  <si>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</si>
  <si>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</si>
  <si>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</si>
  <si>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</si>
  <si>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</si>
  <si>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</si>
  <si>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</si>
  <si>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</si>
  <si>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</si>
  <si>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</si>
  <si>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</si>
  <si>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</si>
  <si>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</si>
  <si>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</si>
  <si>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</si>
  <si>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</si>
  <si>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</si>
  <si>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</si>
  <si>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</si>
  <si>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</si>
  <si>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</si>
  <si>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</si>
  <si>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</si>
  <si>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</si>
  <si>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</si>
  <si>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</si>
  <si>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</si>
  <si>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</si>
  <si>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</si>
  <si>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</si>
  <si>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</si>
  <si>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</si>
  <si>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</si>
  <si>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</si>
  <si>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</si>
  <si>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</si>
  <si>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</si>
  <si>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</si>
  <si>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</si>
  <si>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</si>
  <si>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</si>
  <si>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</si>
  <si>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</si>
  <si>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</si>
  <si>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</si>
  <si>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</si>
  <si>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</si>
  <si>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</si>
  <si>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</si>
  <si>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</si>
  <si>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</si>
  <si>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</si>
  <si>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</si>
  <si>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</si>
  <si>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</si>
  <si>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</si>
  <si>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</si>
  <si>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</si>
  <si>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</si>
  <si>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</si>
  <si>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</si>
  <si>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</si>
  <si>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</si>
  <si>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</si>
  <si>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</si>
  <si>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</si>
  <si>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</si>
  <si>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</si>
  <si>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</si>
  <si>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</si>
  <si>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</si>
  <si>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</si>
  <si>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</si>
  <si>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</si>
  <si>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</si>
  <si>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</si>
  <si>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</si>
  <si>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</si>
  <si>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</si>
  <si>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</si>
  <si>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</si>
  <si>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</si>
  <si>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</si>
  <si>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</si>
  <si>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</si>
  <si>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</si>
  <si>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</si>
  <si>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</si>
  <si>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</si>
  <si>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</si>
  <si>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</si>
  <si>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</si>
  <si>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</si>
  <si>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</si>
  <si>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</si>
  <si>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</si>
  <si>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</si>
  <si>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</si>
  <si>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</si>
  <si>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</si>
  <si>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</si>
  <si>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</si>
  <si>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</si>
  <si>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</si>
  <si>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</si>
  <si>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</si>
  <si>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</si>
  <si>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</si>
  <si>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</si>
  <si>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</si>
  <si>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</si>
  <si>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</si>
  <si>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</si>
  <si>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</si>
  <si>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</si>
  <si>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</si>
  <si>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</si>
  <si>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</si>
  <si>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</si>
  <si>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</si>
  <si>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</si>
  <si>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</si>
  <si>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</si>
  <si>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</si>
  <si>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</si>
  <si>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</si>
  <si>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</si>
  <si>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</si>
  <si>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</si>
  <si>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</si>
  <si>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</si>
  <si>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</si>
  <si>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</si>
  <si>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</si>
  <si>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</si>
  <si>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</si>
  <si>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</si>
  <si>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</si>
  <si>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</si>
  <si>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</si>
  <si>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</si>
  <si>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</si>
  <si>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</si>
  <si>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</si>
  <si>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</si>
  <si>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</si>
  <si>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</si>
  <si>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</si>
  <si>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</si>
  <si>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</si>
  <si>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</si>
  <si>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</si>
  <si>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</si>
  <si>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</si>
  <si>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</si>
  <si>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</si>
  <si>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</si>
  <si>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</si>
  <si>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</si>
  <si>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</si>
  <si>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</si>
  <si>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</si>
  <si>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</si>
  <si>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</si>
  <si>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</si>
  <si>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</si>
  <si>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</si>
  <si>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</si>
  <si>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</si>
  <si>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</si>
  <si>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</si>
  <si>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</si>
  <si>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</si>
  <si>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</si>
  <si>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</si>
  <si>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</si>
  <si>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</si>
  <si>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</si>
  <si>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</si>
  <si>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</si>
  <si>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</si>
  <si>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</si>
  <si>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</si>
  <si>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</si>
  <si>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</si>
  <si>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</si>
  <si>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</si>
  <si>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</si>
  <si>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</si>
  <si>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</si>
  <si>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</si>
  <si>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</si>
  <si>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</si>
  <si>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</si>
  <si>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</si>
  <si>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</si>
  <si>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</si>
  <si>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</si>
  <si>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</si>
  <si>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</si>
  <si>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</si>
  <si>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</si>
  <si>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</si>
  <si>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</si>
  <si>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</si>
  <si>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</si>
  <si>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</si>
  <si>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</si>
  <si>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</si>
  <si>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</si>
  <si>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</si>
  <si>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</si>
  <si>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</si>
  <si>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</si>
  <si>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</si>
  <si>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</si>
  <si>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</si>
  <si>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</si>
  <si>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</si>
  <si>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</si>
  <si>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</si>
  <si>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</si>
  <si>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</si>
  <si>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</si>
  <si>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</si>
  <si>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</si>
  <si>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</si>
  <si>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</si>
  <si>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</si>
  <si>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</si>
  <si>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</si>
  <si>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</si>
  <si>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</si>
  <si>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</si>
  <si>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</si>
  <si>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</si>
  <si>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</si>
  <si>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</si>
  <si>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</si>
  <si>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</si>
  <si>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</si>
  <si>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</si>
  <si>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</si>
  <si>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</si>
  <si>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</si>
  <si>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</si>
  <si>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</si>
  <si>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</si>
  <si>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</si>
  <si>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</si>
  <si>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</si>
  <si>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</si>
  <si>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</si>
  <si>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</si>
  <si>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</si>
  <si>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</si>
  <si>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</si>
  <si>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</si>
  <si>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</si>
  <si>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</si>
  <si>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</si>
  <si>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</si>
  <si>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</si>
  <si>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</si>
  <si>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</si>
  <si>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</si>
  <si>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</si>
  <si>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</si>
  <si>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</si>
  <si>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</si>
  <si>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</si>
  <si>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</si>
  <si>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</si>
  <si>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</si>
  <si>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</si>
  <si>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</si>
  <si>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</si>
  <si>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</si>
  <si>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</si>
  <si>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</si>
  <si>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</si>
  <si>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</si>
  <si>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</si>
  <si>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</si>
  <si>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</si>
  <si>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</si>
  <si>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</si>
  <si>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3/2017</t>
  </si>
  <si>
    <t>8/2018</t>
  </si>
  <si>
    <t>3/2020</t>
  </si>
  <si>
    <t>8/2021</t>
  </si>
  <si>
    <t>Farmington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</si>
</sst>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5" zoomScaleNormal="115" workbookViewId="0">
      <pane xSplit="5" ySplit="3" topLeftCell="G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4" t="s">
        <v>916</v>
      </c>
      <c r="B2" s="21">
        <v>175</v>
      </c>
      <c r="C2" s="21">
        <v>175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3" t="s">
        <v>278</v>
      </c>
      <c r="G6" s="223" t="s">
        <v>279</v>
      </c>
      <c r="H6" s="223" t="s">
        <v>280</v>
      </c>
      <c r="I6" s="223" t="s">
        <v>281</v>
      </c>
      <c r="J6" s="223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3"/>
      <c r="G7" s="224"/>
      <c r="H7" s="223" t="s">
        <v>766</v>
      </c>
      <c r="I7" s="224"/>
      <c r="J7" s="224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1851846.8</v>
      </c>
      <c r="G9" s="18">
        <v>5330.99</v>
      </c>
      <c r="H9" s="18">
        <v>0</v>
      </c>
      <c r="I9" s="18">
        <v>0</v>
      </c>
      <c r="J9" s="66">
        <f>SUM(I439)</f>
        <v>0</v>
      </c>
      <c r="K9" s="24" t="s">
        <v>286</v>
      </c>
      <c r="L9" s="24" t="s">
        <v>286</v>
      </c>
      <c r="M9" s="8"/>
      <c r="N9" s="270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6">
        <f>SUM(I440)</f>
        <v>0</v>
      </c>
      <c r="K10" s="24" t="s">
        <v>286</v>
      </c>
      <c r="L10" s="24" t="s">
        <v>286</v>
      </c>
      <c r="M10" s="8"/>
      <c r="N10" s="270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0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122170.17+10534</f>
        <v>132704.16999999998</v>
      </c>
      <c r="G12" s="18">
        <v>-38064.46</v>
      </c>
      <c r="H12" s="18">
        <v>-214837.73</v>
      </c>
      <c r="I12" s="18">
        <v>0</v>
      </c>
      <c r="J12" s="66">
        <f>SUM(I441)</f>
        <v>0</v>
      </c>
      <c r="K12" s="24" t="s">
        <v>286</v>
      </c>
      <c r="L12" s="24" t="s">
        <v>286</v>
      </c>
      <c r="M12" s="8"/>
      <c r="N12" s="270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706651</v>
      </c>
      <c r="G13" s="18">
        <v>23465.93</v>
      </c>
      <c r="H13" s="18">
        <v>247004.7</v>
      </c>
      <c r="I13" s="18">
        <v>0</v>
      </c>
      <c r="J13" s="66">
        <f>SUM(I442)</f>
        <v>1565886.9999999995</v>
      </c>
      <c r="K13" s="24" t="s">
        <v>286</v>
      </c>
      <c r="L13" s="24" t="s">
        <v>286</v>
      </c>
      <c r="M13" s="8"/>
      <c r="N13" s="270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2687.85</v>
      </c>
      <c r="G14" s="18">
        <v>13024.62</v>
      </c>
      <c r="H14" s="18">
        <v>0</v>
      </c>
      <c r="I14" s="18">
        <v>0</v>
      </c>
      <c r="J14" s="66">
        <f>SUM(I443)</f>
        <v>0</v>
      </c>
      <c r="K14" s="24" t="s">
        <v>286</v>
      </c>
      <c r="L14" s="24" t="s">
        <v>286</v>
      </c>
      <c r="M14" s="8"/>
      <c r="N14" s="270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>
        <v>0</v>
      </c>
      <c r="J15" s="24" t="s">
        <v>286</v>
      </c>
      <c r="K15" s="24" t="s">
        <v>286</v>
      </c>
      <c r="L15" s="24" t="s">
        <v>286</v>
      </c>
      <c r="M15" s="8"/>
      <c r="N15" s="270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70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225529</v>
      </c>
      <c r="G17" s="18">
        <v>0</v>
      </c>
      <c r="H17" s="18">
        <v>0</v>
      </c>
      <c r="I17" s="18">
        <v>0</v>
      </c>
      <c r="J17" s="66">
        <f>SUM(I444)</f>
        <v>0</v>
      </c>
      <c r="K17" s="24" t="s">
        <v>286</v>
      </c>
      <c r="L17" s="24" t="s">
        <v>286</v>
      </c>
      <c r="M17" s="8"/>
      <c r="N17" s="270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f>2075+1340.22</f>
        <v>3415.2200000000003</v>
      </c>
      <c r="G18" s="18">
        <v>0</v>
      </c>
      <c r="H18" s="18">
        <v>0</v>
      </c>
      <c r="I18" s="18">
        <v>0</v>
      </c>
      <c r="J18" s="66">
        <f>SUM(I445)</f>
        <v>0</v>
      </c>
      <c r="K18" s="24" t="s">
        <v>286</v>
      </c>
      <c r="L18" s="24" t="s">
        <v>286</v>
      </c>
      <c r="M18" s="8"/>
      <c r="N18" s="270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2922834.04</v>
      </c>
      <c r="G19" s="41">
        <f>SUM(G9:G18)</f>
        <v>3757.08</v>
      </c>
      <c r="H19" s="41">
        <f>SUM(H9:H18)</f>
        <v>32166.97</v>
      </c>
      <c r="I19" s="41">
        <f>SUM(I9:I18)</f>
        <v>0</v>
      </c>
      <c r="J19" s="41">
        <f>SUM(J9:J18)</f>
        <v>1565886.9999999995</v>
      </c>
      <c r="K19" s="45" t="s">
        <v>286</v>
      </c>
      <c r="L19" s="45" t="s">
        <v>286</v>
      </c>
      <c r="M19" s="8"/>
      <c r="N19" s="270"/>
    </row>
    <row r="20" spans="1:14" s="3" customFormat="1" ht="12.2" customHeight="1" x14ac:dyDescent="0.15">
      <c r="A20" s="1" t="s">
        <v>452</v>
      </c>
      <c r="C20" s="157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0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6">
        <f>SUM(I448)</f>
        <v>10534</v>
      </c>
      <c r="K22" s="24" t="s">
        <v>286</v>
      </c>
      <c r="L22" s="24" t="s">
        <v>286</v>
      </c>
      <c r="M22" s="8"/>
      <c r="N22" s="270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34127.050000000003</v>
      </c>
      <c r="G23" s="18">
        <v>0</v>
      </c>
      <c r="H23" s="18">
        <v>0</v>
      </c>
      <c r="I23" s="18">
        <v>0</v>
      </c>
      <c r="J23" s="66">
        <f>SUM(I449)</f>
        <v>0</v>
      </c>
      <c r="K23" s="24" t="s">
        <v>286</v>
      </c>
      <c r="L23" s="24" t="s">
        <v>286</v>
      </c>
      <c r="M23" s="8"/>
      <c r="N23" s="270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80094.85+10136.2</f>
        <v>90231.05</v>
      </c>
      <c r="G24" s="18">
        <v>0</v>
      </c>
      <c r="H24" s="18">
        <v>0</v>
      </c>
      <c r="I24" s="18">
        <v>0</v>
      </c>
      <c r="J24" s="66">
        <f>SUM(I450)</f>
        <v>8734</v>
      </c>
      <c r="K24" s="24" t="s">
        <v>286</v>
      </c>
      <c r="L24" s="24" t="s">
        <v>286</v>
      </c>
      <c r="M24" s="8"/>
      <c r="N24" s="270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70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70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70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f>777376.15</f>
        <v>777376.15</v>
      </c>
      <c r="G28" s="18">
        <v>0</v>
      </c>
      <c r="H28" s="18">
        <v>0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70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163897.73+2421.57</f>
        <v>166319.30000000002</v>
      </c>
      <c r="G29" s="18">
        <v>0</v>
      </c>
      <c r="H29" s="18">
        <v>22966.97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70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>
        <v>3757.08</v>
      </c>
      <c r="H30" s="18">
        <v>9200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70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6">
        <f>SUM(I451)</f>
        <v>0</v>
      </c>
      <c r="K31" s="24" t="s">
        <v>286</v>
      </c>
      <c r="L31" s="24" t="s">
        <v>286</v>
      </c>
      <c r="M31" s="8"/>
      <c r="N31" s="270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1068053.55</v>
      </c>
      <c r="G32" s="41">
        <f>SUM(G22:G31)</f>
        <v>3757.08</v>
      </c>
      <c r="H32" s="41">
        <f>SUM(H22:H31)</f>
        <v>32166.97</v>
      </c>
      <c r="I32" s="41">
        <f>SUM(I22:I31)</f>
        <v>0</v>
      </c>
      <c r="J32" s="41">
        <f>SUM(J22:J31)</f>
        <v>19268</v>
      </c>
      <c r="K32" s="45" t="s">
        <v>286</v>
      </c>
      <c r="L32" s="45" t="s">
        <v>286</v>
      </c>
      <c r="M32" s="8"/>
      <c r="N32" s="270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0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0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286</v>
      </c>
      <c r="K35" s="24" t="s">
        <v>286</v>
      </c>
      <c r="L35" s="24" t="s">
        <v>286</v>
      </c>
      <c r="M35" s="8"/>
      <c r="N35" s="270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286</v>
      </c>
      <c r="K36" s="24" t="s">
        <v>286</v>
      </c>
      <c r="L36" s="24" t="s">
        <v>286</v>
      </c>
      <c r="M36" s="8"/>
      <c r="N36" s="270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286</v>
      </c>
      <c r="L37" s="24" t="s">
        <v>286</v>
      </c>
      <c r="M37" s="8"/>
      <c r="N37" s="270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0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286</v>
      </c>
      <c r="L39" s="24" t="s">
        <v>286</v>
      </c>
      <c r="M39" s="8"/>
      <c r="N39" s="270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0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0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0</v>
      </c>
      <c r="J41" s="24" t="s">
        <v>286</v>
      </c>
      <c r="K41" s="24" t="s">
        <v>286</v>
      </c>
      <c r="L41" s="24" t="s">
        <v>286</v>
      </c>
      <c r="M41" s="8"/>
      <c r="N41" s="270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0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286</v>
      </c>
      <c r="L43" s="24" t="s">
        <v>286</v>
      </c>
      <c r="M43" s="8"/>
      <c r="N43" s="270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7500</v>
      </c>
      <c r="G44" s="18">
        <v>0</v>
      </c>
      <c r="H44" s="18">
        <v>0</v>
      </c>
      <c r="I44" s="18">
        <v>0</v>
      </c>
      <c r="J44" s="24" t="s">
        <v>286</v>
      </c>
      <c r="K44" s="24" t="s">
        <v>286</v>
      </c>
      <c r="L44" s="24" t="s">
        <v>286</v>
      </c>
      <c r="M44" s="8"/>
      <c r="N44" s="270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225529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286</v>
      </c>
      <c r="L45" s="24" t="s">
        <v>286</v>
      </c>
      <c r="M45" s="8"/>
      <c r="N45" s="270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202341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0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0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1546619</v>
      </c>
      <c r="K48" s="24" t="s">
        <v>286</v>
      </c>
      <c r="L48" s="24" t="s">
        <v>286</v>
      </c>
      <c r="M48" s="8"/>
      <c r="N48" s="270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0"/>
    </row>
    <row r="50" spans="1:14" s="3" customFormat="1" ht="12.2" customHeight="1" thickBot="1" x14ac:dyDescent="0.2">
      <c r="A50" s="29" t="s">
        <v>850</v>
      </c>
      <c r="B50" s="2" t="s">
        <v>287</v>
      </c>
      <c r="C50" s="70">
        <v>35</v>
      </c>
      <c r="D50" s="2" t="s">
        <v>651</v>
      </c>
      <c r="E50" s="6">
        <v>770</v>
      </c>
      <c r="F50" s="18">
        <f>1296212.84+123197.65</f>
        <v>1419410.49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0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1854780.49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1546619</v>
      </c>
      <c r="K51" s="45" t="s">
        <v>286</v>
      </c>
      <c r="L51" s="45" t="s">
        <v>286</v>
      </c>
      <c r="N51" s="268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2922834.04</v>
      </c>
      <c r="G52" s="41">
        <f>G51+G32</f>
        <v>3757.08</v>
      </c>
      <c r="H52" s="41">
        <f>H51+H32</f>
        <v>32166.97</v>
      </c>
      <c r="I52" s="41">
        <f>I51+I32</f>
        <v>0</v>
      </c>
      <c r="J52" s="41">
        <f>J51+J32</f>
        <v>1565887</v>
      </c>
      <c r="K52" s="45" t="s">
        <v>286</v>
      </c>
      <c r="L52" s="45" t="s">
        <v>286</v>
      </c>
      <c r="M52" s="8"/>
      <c r="N52" s="270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0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0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0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0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7074095</v>
      </c>
      <c r="G57" s="18">
        <v>0</v>
      </c>
      <c r="H57" s="18">
        <v>0</v>
      </c>
      <c r="I57" s="18">
        <v>0</v>
      </c>
      <c r="J57" s="18">
        <v>0</v>
      </c>
      <c r="K57" s="24" t="s">
        <v>286</v>
      </c>
      <c r="L57" s="24" t="s">
        <v>286</v>
      </c>
      <c r="M57" s="8"/>
      <c r="N57" s="270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0</v>
      </c>
      <c r="G58" s="18">
        <v>0</v>
      </c>
      <c r="H58" s="24" t="s">
        <v>286</v>
      </c>
      <c r="I58" s="18">
        <v>0</v>
      </c>
      <c r="J58" s="24" t="s">
        <v>286</v>
      </c>
      <c r="K58" s="24" t="s">
        <v>286</v>
      </c>
      <c r="L58" s="24" t="s">
        <v>286</v>
      </c>
      <c r="M58" s="8"/>
      <c r="N58" s="270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286</v>
      </c>
      <c r="L59" s="24" t="s">
        <v>286</v>
      </c>
      <c r="M59" s="31"/>
      <c r="N59" s="271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7074095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1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0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0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0</v>
      </c>
      <c r="G63" s="24" t="s">
        <v>286</v>
      </c>
      <c r="H63" s="18">
        <v>0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0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0</v>
      </c>
      <c r="G64" s="24" t="s">
        <v>286</v>
      </c>
      <c r="H64" s="18">
        <v>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0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0</v>
      </c>
      <c r="G65" s="24" t="s">
        <v>286</v>
      </c>
      <c r="H65" s="18">
        <v>0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1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>
        <v>0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0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0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22619.67</v>
      </c>
      <c r="G68" s="24" t="s">
        <v>286</v>
      </c>
      <c r="H68" s="18">
        <v>0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0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0</v>
      </c>
      <c r="G69" s="24" t="s">
        <v>286</v>
      </c>
      <c r="H69" s="18">
        <v>0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0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0</v>
      </c>
      <c r="G70" s="24" t="s">
        <v>286</v>
      </c>
      <c r="H70" s="18">
        <v>0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0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0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0</v>
      </c>
      <c r="G72" s="24" t="s">
        <v>286</v>
      </c>
      <c r="H72" s="18">
        <v>0</v>
      </c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0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>
        <v>0</v>
      </c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0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0</v>
      </c>
      <c r="G74" s="24" t="s">
        <v>286</v>
      </c>
      <c r="H74" s="18">
        <v>0</v>
      </c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0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0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>
        <v>0</v>
      </c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0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0</v>
      </c>
      <c r="G77" s="24" t="s">
        <v>286</v>
      </c>
      <c r="H77" s="18">
        <v>0</v>
      </c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0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0</v>
      </c>
      <c r="G78" s="24" t="s">
        <v>286</v>
      </c>
      <c r="H78" s="18">
        <v>0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68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22619.67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0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0"/>
    </row>
    <row r="81" spans="1:14" s="3" customFormat="1" ht="12.2" customHeight="1" x14ac:dyDescent="0.2">
      <c r="A81" s="168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0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0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0</v>
      </c>
      <c r="G83" s="24" t="s">
        <v>286</v>
      </c>
      <c r="H83" s="18">
        <v>0</v>
      </c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0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>
        <v>0</v>
      </c>
      <c r="G84" s="24" t="s">
        <v>286</v>
      </c>
      <c r="H84" s="18">
        <v>0</v>
      </c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0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0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0</v>
      </c>
      <c r="G86" s="24" t="s">
        <v>286</v>
      </c>
      <c r="H86" s="18">
        <v>0</v>
      </c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0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0</v>
      </c>
      <c r="G87" s="24" t="s">
        <v>286</v>
      </c>
      <c r="H87" s="18">
        <v>0</v>
      </c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0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>
        <v>0</v>
      </c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0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0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>
        <v>0</v>
      </c>
      <c r="G90" s="24" t="s">
        <v>286</v>
      </c>
      <c r="H90" s="18">
        <v>0</v>
      </c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0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>
        <v>0</v>
      </c>
      <c r="G91" s="24" t="s">
        <v>286</v>
      </c>
      <c r="H91" s="18">
        <v>0</v>
      </c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0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>
        <v>0</v>
      </c>
      <c r="G92" s="24" t="s">
        <v>286</v>
      </c>
      <c r="H92" s="18">
        <v>0</v>
      </c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0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12404.56</v>
      </c>
      <c r="G93" s="24" t="s">
        <v>286</v>
      </c>
      <c r="H93" s="18">
        <v>0</v>
      </c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0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12404.56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0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0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6836</v>
      </c>
      <c r="K96" s="24" t="s">
        <v>286</v>
      </c>
      <c r="L96" s="24" t="s">
        <v>286</v>
      </c>
      <c r="M96" s="8"/>
      <c r="N96" s="270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128400.71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0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0</v>
      </c>
      <c r="G98" s="24" t="s">
        <v>286</v>
      </c>
      <c r="H98" s="18">
        <v>0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0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0</v>
      </c>
      <c r="G99" s="18">
        <v>0</v>
      </c>
      <c r="H99" s="18">
        <v>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0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0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0</v>
      </c>
      <c r="G101" s="18">
        <v>0</v>
      </c>
      <c r="H101" s="18">
        <v>0</v>
      </c>
      <c r="I101" s="18">
        <v>0</v>
      </c>
      <c r="J101" s="24" t="s">
        <v>286</v>
      </c>
      <c r="K101" s="24" t="s">
        <v>286</v>
      </c>
      <c r="L101" s="24" t="s">
        <v>286</v>
      </c>
      <c r="M101" s="8"/>
      <c r="N101" s="270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286</v>
      </c>
      <c r="L102" s="24" t="s">
        <v>286</v>
      </c>
      <c r="M102" s="8"/>
      <c r="N102" s="270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0</v>
      </c>
      <c r="G103" s="18">
        <v>0</v>
      </c>
      <c r="H103" s="18">
        <v>0</v>
      </c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0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0</v>
      </c>
      <c r="G104" s="24" t="s">
        <v>286</v>
      </c>
      <c r="H104" s="18">
        <v>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0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0</v>
      </c>
      <c r="G105" s="18">
        <v>0</v>
      </c>
      <c r="H105" s="18">
        <v>0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0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0</v>
      </c>
      <c r="G106" s="18">
        <v>0</v>
      </c>
      <c r="H106" s="18">
        <v>0</v>
      </c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0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286</v>
      </c>
      <c r="K107" s="24" t="s">
        <v>286</v>
      </c>
      <c r="L107" s="24" t="s">
        <v>286</v>
      </c>
      <c r="M107" s="8"/>
      <c r="N107" s="270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286</v>
      </c>
      <c r="K108" s="24" t="s">
        <v>286</v>
      </c>
      <c r="L108" s="24" t="s">
        <v>286</v>
      </c>
      <c r="M108" s="8"/>
      <c r="N108" s="270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38087.65</v>
      </c>
      <c r="G109" s="18">
        <v>0</v>
      </c>
      <c r="H109" s="18">
        <v>0</v>
      </c>
      <c r="I109" s="18">
        <v>0</v>
      </c>
      <c r="J109" s="24" t="s">
        <v>286</v>
      </c>
      <c r="K109" s="24" t="s">
        <v>286</v>
      </c>
      <c r="L109" s="24" t="s">
        <v>286</v>
      </c>
      <c r="M109" s="8"/>
      <c r="N109" s="270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5163.5+2444.57+75</f>
        <v>7683.07</v>
      </c>
      <c r="G110" s="18">
        <v>48255.82</v>
      </c>
      <c r="H110" s="18">
        <v>0</v>
      </c>
      <c r="I110" s="18">
        <v>0</v>
      </c>
      <c r="J110" s="18"/>
      <c r="K110" s="24" t="s">
        <v>286</v>
      </c>
      <c r="L110" s="24" t="s">
        <v>286</v>
      </c>
      <c r="M110" s="8"/>
      <c r="N110" s="270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45770.720000000001</v>
      </c>
      <c r="G111" s="41">
        <f>SUM(G96:G110)</f>
        <v>176656.53</v>
      </c>
      <c r="H111" s="41">
        <f>SUM(H96:H110)</f>
        <v>0</v>
      </c>
      <c r="I111" s="41">
        <f>SUM(I96:I110)</f>
        <v>0</v>
      </c>
      <c r="J111" s="41">
        <f>SUM(J96:J110)</f>
        <v>6836</v>
      </c>
      <c r="K111" s="45" t="s">
        <v>286</v>
      </c>
      <c r="L111" s="45" t="s">
        <v>286</v>
      </c>
      <c r="N111" s="268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7154889.9499999993</v>
      </c>
      <c r="G112" s="41">
        <f>G60+G111</f>
        <v>176656.53</v>
      </c>
      <c r="H112" s="41">
        <f>H60+H79+H94+H111</f>
        <v>0</v>
      </c>
      <c r="I112" s="41">
        <f>I60+I111</f>
        <v>0</v>
      </c>
      <c r="J112" s="41">
        <f>J60+J111</f>
        <v>6836</v>
      </c>
      <c r="K112" s="45" t="s">
        <v>286</v>
      </c>
      <c r="L112" s="45" t="s">
        <v>286</v>
      </c>
      <c r="M112" s="8"/>
      <c r="N112" s="270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0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0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0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0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5820948.3200000003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0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1019540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0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0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4738.04</v>
      </c>
      <c r="G120" s="18">
        <v>0</v>
      </c>
      <c r="H120" s="18">
        <v>0</v>
      </c>
      <c r="I120" s="18">
        <v>0</v>
      </c>
      <c r="J120" s="18">
        <v>0</v>
      </c>
      <c r="K120" s="24" t="s">
        <v>286</v>
      </c>
      <c r="L120" s="24" t="s">
        <v>286</v>
      </c>
      <c r="M120" s="8"/>
      <c r="N120" s="270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6845226.3600000003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0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0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0</v>
      </c>
      <c r="G123" s="24" t="s">
        <v>286</v>
      </c>
      <c r="H123" s="24" t="s">
        <v>286</v>
      </c>
      <c r="I123" s="18">
        <v>0</v>
      </c>
      <c r="J123" s="24" t="s">
        <v>286</v>
      </c>
      <c r="K123" s="24" t="s">
        <v>286</v>
      </c>
      <c r="L123" s="24" t="s">
        <v>286</v>
      </c>
      <c r="M123" s="8"/>
      <c r="N123" s="270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0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0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0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76129.710000000006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0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0</v>
      </c>
      <c r="G127" s="24" t="s">
        <v>286</v>
      </c>
      <c r="H127" s="18">
        <v>0</v>
      </c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0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11988.4</v>
      </c>
      <c r="G128" s="24" t="s">
        <v>286</v>
      </c>
      <c r="H128" s="18">
        <v>0</v>
      </c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0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>
        <v>0</v>
      </c>
      <c r="G129" s="24" t="s">
        <v>286</v>
      </c>
      <c r="H129" s="18">
        <v>0</v>
      </c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0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>
        <v>0</v>
      </c>
      <c r="G130" s="24" t="s">
        <v>286</v>
      </c>
      <c r="H130" s="18">
        <v>9643.18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0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>
        <v>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0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5914.36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0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>
        <v>0</v>
      </c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0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>
        <v>0</v>
      </c>
      <c r="I134" s="24"/>
      <c r="J134" s="24"/>
      <c r="K134" s="24"/>
      <c r="L134" s="24"/>
      <c r="M134" s="8"/>
      <c r="N134" s="270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286</v>
      </c>
      <c r="L135" s="24" t="s">
        <v>286</v>
      </c>
      <c r="M135" s="8"/>
      <c r="N135" s="270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88118.11</v>
      </c>
      <c r="G136" s="41">
        <f>SUM(G123:G135)</f>
        <v>5914.36</v>
      </c>
      <c r="H136" s="41">
        <f>SUM(H123:H135)</f>
        <v>9643.18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0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>
        <v>0</v>
      </c>
      <c r="G137" s="18">
        <v>0</v>
      </c>
      <c r="H137" s="18">
        <v>0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0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>
        <v>0</v>
      </c>
      <c r="G138" s="24" t="s">
        <v>286</v>
      </c>
      <c r="H138" s="18">
        <v>0</v>
      </c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0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0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6933344.4700000007</v>
      </c>
      <c r="G140" s="41">
        <f>G121+SUM(G136:G137)</f>
        <v>5914.36</v>
      </c>
      <c r="H140" s="41">
        <f>H121+SUM(H136:H139)</f>
        <v>9643.18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0"/>
    </row>
    <row r="141" spans="1:14" s="3" customFormat="1" ht="12.2" customHeight="1" x14ac:dyDescent="0.2">
      <c r="A141" s="69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0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0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2" t="s">
        <v>766</v>
      </c>
      <c r="I143" s="16" t="s">
        <v>281</v>
      </c>
      <c r="J143" s="16" t="s">
        <v>282</v>
      </c>
      <c r="K143" s="20"/>
      <c r="L143" s="20"/>
      <c r="M143" s="8"/>
      <c r="N143" s="270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0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286</v>
      </c>
      <c r="K145" s="24" t="s">
        <v>286</v>
      </c>
      <c r="L145" s="24" t="s">
        <v>286</v>
      </c>
      <c r="M145" s="8"/>
      <c r="N145" s="270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53198.720000000001</v>
      </c>
      <c r="G146" s="18">
        <v>0</v>
      </c>
      <c r="H146" s="18">
        <v>0</v>
      </c>
      <c r="I146" s="18">
        <v>0</v>
      </c>
      <c r="J146" s="24" t="s">
        <v>286</v>
      </c>
      <c r="K146" s="24" t="s">
        <v>286</v>
      </c>
      <c r="L146" s="24" t="s">
        <v>286</v>
      </c>
      <c r="M146" s="8"/>
      <c r="N146" s="270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53198.720000000001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0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0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0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0</v>
      </c>
      <c r="G150" s="24" t="s">
        <v>286</v>
      </c>
      <c r="H150" s="18">
        <v>0</v>
      </c>
      <c r="I150" s="18">
        <v>0</v>
      </c>
      <c r="J150" s="24" t="s">
        <v>286</v>
      </c>
      <c r="K150" s="24" t="s">
        <v>286</v>
      </c>
      <c r="L150" s="24" t="s">
        <v>286</v>
      </c>
      <c r="M150" s="8"/>
      <c r="N150" s="270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>
        <v>0</v>
      </c>
      <c r="G151" s="24" t="s">
        <v>286</v>
      </c>
      <c r="H151" s="18">
        <v>0</v>
      </c>
      <c r="I151" s="18">
        <v>0</v>
      </c>
      <c r="J151" s="24" t="s">
        <v>286</v>
      </c>
      <c r="K151" s="24" t="s">
        <v>286</v>
      </c>
      <c r="L151" s="24" t="s">
        <v>286</v>
      </c>
      <c r="M151" s="8"/>
      <c r="N151" s="270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>
        <v>0</v>
      </c>
      <c r="G152" s="24" t="s">
        <v>286</v>
      </c>
      <c r="H152" s="18">
        <v>0</v>
      </c>
      <c r="I152" s="18">
        <v>0</v>
      </c>
      <c r="J152" s="24" t="s">
        <v>286</v>
      </c>
      <c r="K152" s="24" t="s">
        <v>286</v>
      </c>
      <c r="L152" s="24" t="s">
        <v>286</v>
      </c>
      <c r="M152" s="8"/>
      <c r="N152" s="270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0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526459.53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0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359592.9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0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0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0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0</v>
      </c>
      <c r="G157" s="24" t="s">
        <v>286</v>
      </c>
      <c r="H157" s="18">
        <v>0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0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332427.5-48255.82</f>
        <v>284171.68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0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>
        <v>230481.22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0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168495.35999999999</v>
      </c>
      <c r="G160" s="24" t="s">
        <v>286</v>
      </c>
      <c r="H160" s="18">
        <v>0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0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>
        <v>0</v>
      </c>
      <c r="H161" s="18">
        <v>38642.370000000003</v>
      </c>
      <c r="I161" s="18">
        <v>0</v>
      </c>
      <c r="J161" s="24" t="s">
        <v>286</v>
      </c>
      <c r="K161" s="24" t="s">
        <v>286</v>
      </c>
      <c r="L161" s="24" t="s">
        <v>286</v>
      </c>
      <c r="M161" s="8"/>
      <c r="N161" s="270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168495.35999999999</v>
      </c>
      <c r="G162" s="41">
        <f>SUM(G150:G161)</f>
        <v>284171.68</v>
      </c>
      <c r="H162" s="41">
        <f>SUM(H150:H161)</f>
        <v>1155176.0200000003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0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286</v>
      </c>
      <c r="K163" s="24" t="s">
        <v>286</v>
      </c>
      <c r="L163" s="24" t="s">
        <v>286</v>
      </c>
      <c r="M163" s="8"/>
      <c r="N163" s="270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0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0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>
        <v>0</v>
      </c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0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0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0</v>
      </c>
      <c r="G168" s="18">
        <v>0</v>
      </c>
      <c r="H168" s="18">
        <v>0</v>
      </c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0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221694.07999999999</v>
      </c>
      <c r="G169" s="41">
        <f>G147+G162+SUM(G163:G168)</f>
        <v>284171.68</v>
      </c>
      <c r="H169" s="41">
        <f>H147+H162+SUM(H163:H168)</f>
        <v>1155176.0200000003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0"/>
    </row>
    <row r="170" spans="1:14" s="3" customFormat="1" ht="12.2" customHeight="1" x14ac:dyDescent="0.2">
      <c r="A170" s="69"/>
      <c r="B170" s="36"/>
      <c r="C170" s="74"/>
      <c r="D170" s="74"/>
      <c r="E170" s="74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0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0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2" t="s">
        <v>766</v>
      </c>
      <c r="I172" s="16" t="s">
        <v>281</v>
      </c>
      <c r="J172" s="16" t="s">
        <v>282</v>
      </c>
      <c r="K172" s="20"/>
      <c r="L172" s="20"/>
      <c r="M172" s="8"/>
      <c r="N172" s="270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0</v>
      </c>
      <c r="G173" s="24" t="s">
        <v>286</v>
      </c>
      <c r="H173" s="24" t="s">
        <v>286</v>
      </c>
      <c r="I173" s="18">
        <v>0</v>
      </c>
      <c r="J173" s="24" t="s">
        <v>286</v>
      </c>
      <c r="K173" s="24" t="s">
        <v>286</v>
      </c>
      <c r="L173" s="24" t="s">
        <v>286</v>
      </c>
      <c r="M173" s="8"/>
      <c r="N173" s="270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>
        <v>0</v>
      </c>
      <c r="G174" s="24" t="s">
        <v>286</v>
      </c>
      <c r="H174" s="24" t="s">
        <v>286</v>
      </c>
      <c r="I174" s="18">
        <v>0</v>
      </c>
      <c r="J174" s="24" t="s">
        <v>286</v>
      </c>
      <c r="K174" s="24" t="s">
        <v>286</v>
      </c>
      <c r="L174" s="24" t="s">
        <v>286</v>
      </c>
      <c r="M174" s="8"/>
      <c r="N174" s="270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>
        <v>0</v>
      </c>
      <c r="G175" s="24" t="s">
        <v>286</v>
      </c>
      <c r="H175" s="24" t="s">
        <v>286</v>
      </c>
      <c r="I175" s="18">
        <v>0</v>
      </c>
      <c r="J175" s="24" t="s">
        <v>286</v>
      </c>
      <c r="K175" s="24" t="s">
        <v>286</v>
      </c>
      <c r="L175" s="24" t="s">
        <v>286</v>
      </c>
      <c r="M175" s="8"/>
      <c r="N175" s="270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0</v>
      </c>
      <c r="G176" s="24" t="s">
        <v>286</v>
      </c>
      <c r="H176" s="24" t="s">
        <v>286</v>
      </c>
      <c r="I176" s="18">
        <v>0</v>
      </c>
      <c r="J176" s="24" t="s">
        <v>286</v>
      </c>
      <c r="K176" s="24" t="s">
        <v>286</v>
      </c>
      <c r="L176" s="24" t="s">
        <v>286</v>
      </c>
      <c r="M176" s="8"/>
      <c r="N176" s="270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0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0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f>K263</f>
        <v>74454.03</v>
      </c>
      <c r="H179" s="18">
        <v>0</v>
      </c>
      <c r="I179" s="18">
        <v>0</v>
      </c>
      <c r="J179" s="18">
        <v>100000</v>
      </c>
      <c r="K179" s="24" t="s">
        <v>286</v>
      </c>
      <c r="L179" s="24" t="s">
        <v>286</v>
      </c>
      <c r="M179" s="8"/>
      <c r="N179" s="270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>
        <v>0</v>
      </c>
      <c r="G180" s="24" t="s">
        <v>286</v>
      </c>
      <c r="H180" s="18">
        <v>0</v>
      </c>
      <c r="I180" s="18">
        <v>0</v>
      </c>
      <c r="J180" s="18">
        <v>0</v>
      </c>
      <c r="K180" s="24" t="s">
        <v>286</v>
      </c>
      <c r="L180" s="24" t="s">
        <v>286</v>
      </c>
      <c r="M180" s="8"/>
      <c r="N180" s="270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0</v>
      </c>
      <c r="G181" s="18">
        <v>0</v>
      </c>
      <c r="H181" s="24" t="s">
        <v>286</v>
      </c>
      <c r="I181" s="18">
        <v>0</v>
      </c>
      <c r="J181" s="18">
        <v>0</v>
      </c>
      <c r="K181" s="24" t="s">
        <v>286</v>
      </c>
      <c r="L181" s="24" t="s">
        <v>286</v>
      </c>
      <c r="M181" s="8"/>
      <c r="N181" s="270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>
        <v>0</v>
      </c>
      <c r="H182" s="18">
        <v>0</v>
      </c>
      <c r="I182" s="24" t="s">
        <v>286</v>
      </c>
      <c r="J182" s="18">
        <v>0</v>
      </c>
      <c r="K182" s="24" t="s">
        <v>286</v>
      </c>
      <c r="L182" s="24" t="s">
        <v>286</v>
      </c>
      <c r="M182" s="8"/>
      <c r="N182" s="270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74454.03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286</v>
      </c>
      <c r="L183" s="45" t="s">
        <v>286</v>
      </c>
      <c r="M183" s="8"/>
      <c r="N183" s="270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0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f>44500+22805+15234.5</f>
        <v>82539.5</v>
      </c>
      <c r="G185" s="18">
        <v>0</v>
      </c>
      <c r="H185" s="18">
        <v>0</v>
      </c>
      <c r="I185" s="18">
        <v>0</v>
      </c>
      <c r="J185" s="24" t="s">
        <v>286</v>
      </c>
      <c r="K185" s="24" t="s">
        <v>286</v>
      </c>
      <c r="L185" s="24" t="s">
        <v>286</v>
      </c>
      <c r="M185" s="8"/>
      <c r="N185" s="270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286</v>
      </c>
      <c r="K186" s="24" t="s">
        <v>286</v>
      </c>
      <c r="L186" s="24" t="s">
        <v>286</v>
      </c>
      <c r="M186" s="8"/>
      <c r="N186" s="270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286</v>
      </c>
      <c r="K187" s="24" t="s">
        <v>286</v>
      </c>
      <c r="L187" s="24" t="s">
        <v>286</v>
      </c>
      <c r="N187" s="268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82539.5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68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286</v>
      </c>
      <c r="K189" s="24" t="s">
        <v>286</v>
      </c>
      <c r="L189" s="24" t="s">
        <v>286</v>
      </c>
      <c r="M189" s="8"/>
      <c r="N189" s="270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286</v>
      </c>
      <c r="K190" s="24" t="s">
        <v>286</v>
      </c>
      <c r="L190" s="24" t="s">
        <v>286</v>
      </c>
      <c r="M190" s="8"/>
      <c r="N190" s="270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286</v>
      </c>
      <c r="K191" s="24" t="s">
        <v>286</v>
      </c>
      <c r="L191" s="24" t="s">
        <v>286</v>
      </c>
      <c r="M191" s="8"/>
      <c r="N191" s="270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4" t="s">
        <v>428</v>
      </c>
      <c r="E192" s="51">
        <v>5000</v>
      </c>
      <c r="F192" s="41">
        <f>F177+F183+SUM(F188:F191)</f>
        <v>82539.5</v>
      </c>
      <c r="G192" s="41">
        <f>G183+SUM(G188:G191)</f>
        <v>74454.03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286</v>
      </c>
      <c r="L192" s="45" t="s">
        <v>286</v>
      </c>
      <c r="M192" s="8"/>
      <c r="N192" s="270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5" t="s">
        <v>428</v>
      </c>
      <c r="E193" s="44"/>
      <c r="F193" s="47">
        <f>F112+F140+F169+F192</f>
        <v>14392468</v>
      </c>
      <c r="G193" s="47">
        <f>G112+G140+G169+G192</f>
        <v>541196.6</v>
      </c>
      <c r="H193" s="47">
        <f>H112+H140+H169+H192</f>
        <v>1164819.2000000002</v>
      </c>
      <c r="I193" s="47">
        <f>I112+I140+I169+I192</f>
        <v>0</v>
      </c>
      <c r="J193" s="47">
        <f>J112+J140+J192</f>
        <v>106836</v>
      </c>
      <c r="K193" s="45" t="s">
        <v>286</v>
      </c>
      <c r="L193" s="45" t="s">
        <v>286</v>
      </c>
      <c r="M193" s="8"/>
      <c r="N193" s="270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5" t="s">
        <v>687</v>
      </c>
      <c r="G194" s="175" t="s">
        <v>688</v>
      </c>
      <c r="H194" s="175" t="s">
        <v>689</v>
      </c>
      <c r="I194" s="175" t="s">
        <v>690</v>
      </c>
      <c r="J194" s="175" t="s">
        <v>691</v>
      </c>
      <c r="K194" s="175" t="s">
        <v>692</v>
      </c>
      <c r="L194" s="56"/>
      <c r="M194" s="8"/>
      <c r="N194" s="270"/>
    </row>
    <row r="195" spans="1:14" s="3" customFormat="1" ht="12.2" customHeight="1" x14ac:dyDescent="0.15">
      <c r="A195" s="29" t="s">
        <v>449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70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0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2361128.9024342857</v>
      </c>
      <c r="G197" s="18">
        <v>1125014.0908228569</v>
      </c>
      <c r="H197" s="18">
        <v>21376.52</v>
      </c>
      <c r="I197" s="18">
        <v>37539.620000000003</v>
      </c>
      <c r="J197" s="18">
        <v>4822.68</v>
      </c>
      <c r="K197" s="18">
        <v>0</v>
      </c>
      <c r="L197" s="19">
        <f>SUM(F197:K197)</f>
        <v>3549881.8132571429</v>
      </c>
      <c r="M197" s="8"/>
      <c r="N197" s="270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1203501.44456</v>
      </c>
      <c r="G198" s="18">
        <v>372899.69966857141</v>
      </c>
      <c r="H198" s="18">
        <v>263145.63386285712</v>
      </c>
      <c r="I198" s="18">
        <v>4972.9669142857138</v>
      </c>
      <c r="J198" s="18">
        <v>665.8</v>
      </c>
      <c r="K198" s="18">
        <v>5084.9965714285709</v>
      </c>
      <c r="L198" s="19">
        <f>SUM(F198:K198)</f>
        <v>1850270.5415771427</v>
      </c>
      <c r="M198" s="8"/>
      <c r="N198" s="270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0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31555.72</v>
      </c>
      <c r="G200" s="18">
        <v>6538.15</v>
      </c>
      <c r="H200" s="18">
        <v>6782.01</v>
      </c>
      <c r="I200" s="18">
        <v>3837.3</v>
      </c>
      <c r="J200" s="18">
        <v>0</v>
      </c>
      <c r="K200" s="18">
        <v>0</v>
      </c>
      <c r="L200" s="19">
        <f>SUM(F200:K200)</f>
        <v>48713.180000000008</v>
      </c>
      <c r="M200" s="8"/>
      <c r="N200" s="270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0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473229.99555428571</v>
      </c>
      <c r="G202" s="18">
        <v>198153.79074285715</v>
      </c>
      <c r="H202" s="18">
        <v>72588.147691428574</v>
      </c>
      <c r="I202" s="18">
        <v>2992.7800914285708</v>
      </c>
      <c r="J202" s="18">
        <v>0</v>
      </c>
      <c r="K202" s="18">
        <v>256.79657142857144</v>
      </c>
      <c r="L202" s="19">
        <f t="shared" ref="L202:L208" si="0">SUM(F202:K202)</f>
        <v>747221.51065142849</v>
      </c>
      <c r="M202" s="8"/>
      <c r="N202" s="270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92871.72</v>
      </c>
      <c r="G203" s="18">
        <v>46236.69</v>
      </c>
      <c r="H203" s="18">
        <v>11906.143714285714</v>
      </c>
      <c r="I203" s="18">
        <v>9869.1214285714286</v>
      </c>
      <c r="J203" s="18">
        <v>0</v>
      </c>
      <c r="K203" s="18">
        <v>0</v>
      </c>
      <c r="L203" s="19">
        <f t="shared" si="0"/>
        <v>160883.67514285716</v>
      </c>
      <c r="M203" s="8"/>
      <c r="N203" s="270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385537.83266285708</v>
      </c>
      <c r="G204" s="18">
        <v>180488.83354285714</v>
      </c>
      <c r="H204" s="18">
        <v>123256.05109714284</v>
      </c>
      <c r="I204" s="18">
        <v>3910.1699428571428</v>
      </c>
      <c r="J204" s="18">
        <v>524.67147428571423</v>
      </c>
      <c r="K204" s="18">
        <v>5180.810697142857</v>
      </c>
      <c r="L204" s="19">
        <f t="shared" si="0"/>
        <v>698898.36941714271</v>
      </c>
      <c r="M204" s="8"/>
      <c r="N204" s="270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417198.4</v>
      </c>
      <c r="G205" s="18">
        <v>201308.9</v>
      </c>
      <c r="H205" s="18">
        <v>31225.39</v>
      </c>
      <c r="I205" s="18">
        <v>3431.31</v>
      </c>
      <c r="J205" s="18">
        <v>212.06</v>
      </c>
      <c r="K205" s="18">
        <v>3500</v>
      </c>
      <c r="L205" s="19">
        <f t="shared" si="0"/>
        <v>656876.06000000017</v>
      </c>
      <c r="M205" s="8"/>
      <c r="N205" s="270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0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339026.48241142859</v>
      </c>
      <c r="G207" s="18">
        <v>156101.54890285715</v>
      </c>
      <c r="H207" s="18">
        <v>271014.61884571426</v>
      </c>
      <c r="I207" s="18">
        <v>217962.68444571429</v>
      </c>
      <c r="J207" s="18">
        <v>19708.66137142857</v>
      </c>
      <c r="K207" s="18">
        <v>79.231999999999999</v>
      </c>
      <c r="L207" s="19">
        <f t="shared" si="0"/>
        <v>1003893.2279771428</v>
      </c>
      <c r="M207" s="8"/>
      <c r="N207" s="270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164935.41549714285</v>
      </c>
      <c r="G208" s="18">
        <v>52817.570148571438</v>
      </c>
      <c r="H208" s="18">
        <v>80330.134297142853</v>
      </c>
      <c r="I208" s="18">
        <v>22320.199119999997</v>
      </c>
      <c r="J208" s="18">
        <v>2427.8948571428573</v>
      </c>
      <c r="K208" s="18">
        <v>571.6022857142857</v>
      </c>
      <c r="L208" s="19">
        <f t="shared" si="0"/>
        <v>323402.81620571431</v>
      </c>
      <c r="M208" s="8"/>
      <c r="N208" s="270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65017.284</v>
      </c>
      <c r="G209" s="18">
        <v>30869.678559999997</v>
      </c>
      <c r="H209" s="18">
        <v>12640.121485714286</v>
      </c>
      <c r="I209" s="18">
        <v>35173.525428571425</v>
      </c>
      <c r="J209" s="18">
        <v>12308.74072</v>
      </c>
      <c r="K209" s="18">
        <v>0</v>
      </c>
      <c r="L209" s="19">
        <f>SUM(F209:K209)</f>
        <v>156009.35019428571</v>
      </c>
      <c r="M209" s="8"/>
      <c r="N209" s="270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0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5534003.1971199997</v>
      </c>
      <c r="G211" s="41">
        <f t="shared" si="1"/>
        <v>2370428.9523885706</v>
      </c>
      <c r="H211" s="41">
        <f t="shared" si="1"/>
        <v>894264.7709942857</v>
      </c>
      <c r="I211" s="41">
        <f t="shared" si="1"/>
        <v>342009.67737142864</v>
      </c>
      <c r="J211" s="41">
        <f t="shared" si="1"/>
        <v>40670.508422857143</v>
      </c>
      <c r="K211" s="41">
        <f t="shared" si="1"/>
        <v>14673.438125714285</v>
      </c>
      <c r="L211" s="41">
        <f t="shared" si="1"/>
        <v>9196050.5444228575</v>
      </c>
      <c r="M211" s="8"/>
      <c r="N211" s="270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5" t="s">
        <v>687</v>
      </c>
      <c r="G212" s="175" t="s">
        <v>688</v>
      </c>
      <c r="H212" s="175" t="s">
        <v>689</v>
      </c>
      <c r="I212" s="175" t="s">
        <v>690</v>
      </c>
      <c r="J212" s="175" t="s">
        <v>691</v>
      </c>
      <c r="K212" s="175" t="s">
        <v>692</v>
      </c>
      <c r="L212" s="66"/>
      <c r="M212" s="8"/>
      <c r="N212" s="270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70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0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70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0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0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0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0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0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0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0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0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0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0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 t="shared" si="2"/>
        <v>0</v>
      </c>
      <c r="M226" s="8"/>
      <c r="N226" s="270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0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0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.2" customHeight="1" x14ac:dyDescent="0.15">
      <c r="A230" s="55" t="s">
        <v>463</v>
      </c>
      <c r="B230" s="36"/>
      <c r="C230" s="74"/>
      <c r="D230" s="74"/>
      <c r="E230" s="74"/>
      <c r="F230" s="175" t="s">
        <v>687</v>
      </c>
      <c r="G230" s="175" t="s">
        <v>688</v>
      </c>
      <c r="H230" s="175" t="s">
        <v>689</v>
      </c>
      <c r="I230" s="175" t="s">
        <v>690</v>
      </c>
      <c r="J230" s="175" t="s">
        <v>691</v>
      </c>
      <c r="K230" s="175" t="s">
        <v>692</v>
      </c>
      <c r="L230" s="66"/>
      <c r="M230" s="8"/>
      <c r="N230" s="270"/>
    </row>
    <row r="231" spans="1:14" s="3" customFormat="1" ht="12.2" customHeight="1" x14ac:dyDescent="0.15">
      <c r="A231" s="29" t="s">
        <v>451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70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0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1178306.3075657142</v>
      </c>
      <c r="G233" s="18">
        <v>520828.17917714291</v>
      </c>
      <c r="H233" s="18">
        <v>9771.5400000000009</v>
      </c>
      <c r="I233" s="18">
        <v>19876.599999999999</v>
      </c>
      <c r="J233" s="18">
        <v>4488.87</v>
      </c>
      <c r="K233" s="18">
        <v>0</v>
      </c>
      <c r="L233" s="19">
        <f>SUM(F233:K233)</f>
        <v>1733271.4967428574</v>
      </c>
      <c r="M233" s="8"/>
      <c r="N233" s="270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322921.49544000003</v>
      </c>
      <c r="G234" s="18">
        <v>111072.15033142857</v>
      </c>
      <c r="H234" s="18">
        <v>674830.80613714282</v>
      </c>
      <c r="I234" s="18">
        <v>670.41308571428567</v>
      </c>
      <c r="J234" s="18">
        <v>2723.52</v>
      </c>
      <c r="K234" s="18">
        <v>2103.0034285714287</v>
      </c>
      <c r="L234" s="19">
        <f>SUM(F234:K234)</f>
        <v>1114321.388422857</v>
      </c>
      <c r="M234" s="8"/>
      <c r="N234" s="270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59275.08</v>
      </c>
      <c r="I235" s="18">
        <v>0</v>
      </c>
      <c r="J235" s="18">
        <v>0</v>
      </c>
      <c r="K235" s="18">
        <v>0</v>
      </c>
      <c r="L235" s="19">
        <f>SUM(F235:K235)</f>
        <v>59275.08</v>
      </c>
      <c r="M235" s="8"/>
      <c r="N235" s="270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41222.42</v>
      </c>
      <c r="G236" s="18">
        <v>6844.2300000000005</v>
      </c>
      <c r="H236" s="18">
        <v>20462.95</v>
      </c>
      <c r="I236" s="18">
        <v>9536.64</v>
      </c>
      <c r="J236" s="18">
        <v>3236.12</v>
      </c>
      <c r="K236" s="18">
        <v>3990</v>
      </c>
      <c r="L236" s="19">
        <f>SUM(F236:K236)</f>
        <v>85292.36</v>
      </c>
      <c r="M236" s="8"/>
      <c r="N236" s="270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0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265852.45444571431</v>
      </c>
      <c r="G238" s="18">
        <v>97716.959257142851</v>
      </c>
      <c r="H238" s="18">
        <v>32406.62230857143</v>
      </c>
      <c r="I238" s="18">
        <v>4531.9199085714281</v>
      </c>
      <c r="J238" s="18">
        <v>358</v>
      </c>
      <c r="K238" s="18">
        <v>106.20342857142857</v>
      </c>
      <c r="L238" s="19">
        <f t="shared" ref="L238:L244" si="4">SUM(F238:K238)</f>
        <v>400972.15934857138</v>
      </c>
      <c r="M238" s="8"/>
      <c r="N238" s="270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57316</v>
      </c>
      <c r="G239" s="18">
        <v>33285.08</v>
      </c>
      <c r="H239" s="18">
        <v>5806.2762857142852</v>
      </c>
      <c r="I239" s="18">
        <v>8174.4985714285704</v>
      </c>
      <c r="J239" s="18">
        <v>175</v>
      </c>
      <c r="K239" s="18">
        <v>0</v>
      </c>
      <c r="L239" s="19">
        <f t="shared" si="4"/>
        <v>104756.85485714285</v>
      </c>
      <c r="M239" s="8"/>
      <c r="N239" s="270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159446.98733714284</v>
      </c>
      <c r="G240" s="18">
        <v>74644.816457142864</v>
      </c>
      <c r="H240" s="18">
        <v>50975.038902857144</v>
      </c>
      <c r="I240" s="18">
        <v>1617.1300571428574</v>
      </c>
      <c r="J240" s="18">
        <v>216.98852571428571</v>
      </c>
      <c r="K240" s="18">
        <v>2142.6293028571431</v>
      </c>
      <c r="L240" s="19">
        <f t="shared" si="4"/>
        <v>289043.59058285714</v>
      </c>
      <c r="M240" s="8"/>
      <c r="N240" s="270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270974.11</v>
      </c>
      <c r="G241" s="18">
        <v>91125.08</v>
      </c>
      <c r="H241" s="18">
        <v>9834.94</v>
      </c>
      <c r="I241" s="18">
        <v>1109.24</v>
      </c>
      <c r="J241" s="18">
        <v>69.38</v>
      </c>
      <c r="K241" s="18">
        <v>3524.06</v>
      </c>
      <c r="L241" s="19">
        <f t="shared" si="4"/>
        <v>376636.81</v>
      </c>
      <c r="M241" s="8"/>
      <c r="N241" s="270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0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156159.20758857141</v>
      </c>
      <c r="G243" s="18">
        <v>73866.371097142866</v>
      </c>
      <c r="H243" s="18">
        <v>126336.05115428573</v>
      </c>
      <c r="I243" s="18">
        <v>137715.8055542857</v>
      </c>
      <c r="J243" s="18">
        <v>1291.2186285714286</v>
      </c>
      <c r="K243" s="18">
        <v>32.768000000000001</v>
      </c>
      <c r="L243" s="19">
        <f t="shared" si="4"/>
        <v>495401.42202285712</v>
      </c>
      <c r="M243" s="8"/>
      <c r="N243" s="270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98954.244502857138</v>
      </c>
      <c r="G244" s="18">
        <v>32625.909851428576</v>
      </c>
      <c r="H244" s="18">
        <v>33222.155702857141</v>
      </c>
      <c r="I244" s="18">
        <v>9230.9708800000008</v>
      </c>
      <c r="J244" s="18">
        <v>1004.1051428571429</v>
      </c>
      <c r="K244" s="18">
        <v>236.3977142857143</v>
      </c>
      <c r="L244" s="19">
        <f t="shared" si="4"/>
        <v>175273.78379428573</v>
      </c>
      <c r="M244" s="8"/>
      <c r="N244" s="270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26889.216</v>
      </c>
      <c r="G245" s="18">
        <v>12766.781440000001</v>
      </c>
      <c r="H245" s="18">
        <v>5227.5785142857148</v>
      </c>
      <c r="I245" s="18">
        <v>14546.724571428573</v>
      </c>
      <c r="J245" s="18">
        <v>5090.5292800000007</v>
      </c>
      <c r="K245" s="18">
        <v>0</v>
      </c>
      <c r="L245" s="19">
        <f>SUM(F245:K245)</f>
        <v>64520.829805714289</v>
      </c>
      <c r="M245" s="8"/>
      <c r="N245" s="270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0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2578042.4428800005</v>
      </c>
      <c r="G247" s="41">
        <f t="shared" si="5"/>
        <v>1054775.5576114284</v>
      </c>
      <c r="H247" s="41">
        <f t="shared" si="5"/>
        <v>1028149.0390057142</v>
      </c>
      <c r="I247" s="41">
        <f t="shared" si="5"/>
        <v>207009.94262857144</v>
      </c>
      <c r="J247" s="41">
        <f t="shared" si="5"/>
        <v>18653.731577142855</v>
      </c>
      <c r="K247" s="41">
        <f t="shared" si="5"/>
        <v>12135.061874285715</v>
      </c>
      <c r="L247" s="41">
        <f t="shared" si="5"/>
        <v>4898765.7755771428</v>
      </c>
      <c r="M247" s="8"/>
      <c r="N247" s="270"/>
    </row>
    <row r="248" spans="1:14" s="3" customFormat="1" ht="12.2" customHeight="1" x14ac:dyDescent="0.15">
      <c r="A248" s="69"/>
      <c r="B248" s="36"/>
      <c r="C248" s="37"/>
      <c r="D248" s="37"/>
      <c r="E248" s="37"/>
      <c r="F248" s="175" t="s">
        <v>687</v>
      </c>
      <c r="G248" s="175" t="s">
        <v>688</v>
      </c>
      <c r="H248" s="175" t="s">
        <v>689</v>
      </c>
      <c r="I248" s="175" t="s">
        <v>690</v>
      </c>
      <c r="J248" s="175" t="s">
        <v>691</v>
      </c>
      <c r="K248" s="175" t="s">
        <v>692</v>
      </c>
      <c r="L248" s="66"/>
      <c r="M248" s="8"/>
      <c r="N248" s="270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70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0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0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0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0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0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0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8112045.6400000006</v>
      </c>
      <c r="G257" s="41">
        <f t="shared" si="8"/>
        <v>3425204.5099999988</v>
      </c>
      <c r="H257" s="41">
        <f t="shared" si="8"/>
        <v>1922413.81</v>
      </c>
      <c r="I257" s="41">
        <f t="shared" si="8"/>
        <v>549019.62000000011</v>
      </c>
      <c r="J257" s="41">
        <f t="shared" si="8"/>
        <v>59324.24</v>
      </c>
      <c r="K257" s="41">
        <f t="shared" si="8"/>
        <v>26808.5</v>
      </c>
      <c r="L257" s="41">
        <f t="shared" si="8"/>
        <v>14094816.32</v>
      </c>
      <c r="M257" s="8"/>
      <c r="N257" s="270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0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0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0</v>
      </c>
      <c r="L260" s="19">
        <f>SUM(F260:K260)</f>
        <v>0</v>
      </c>
      <c r="M260" s="8"/>
      <c r="N260" s="270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0</v>
      </c>
      <c r="L261" s="19">
        <f>SUM(F261:K261)</f>
        <v>0</v>
      </c>
      <c r="N261" s="268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68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74454.03</v>
      </c>
      <c r="L263" s="19">
        <f>SUM(F263:K263)</f>
        <v>74454.03</v>
      </c>
      <c r="N263" s="268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68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68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100000</v>
      </c>
      <c r="L266" s="19">
        <f t="shared" si="9"/>
        <v>100000</v>
      </c>
      <c r="N266" s="268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68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0</v>
      </c>
      <c r="L268" s="19">
        <f t="shared" si="9"/>
        <v>0</v>
      </c>
      <c r="N268" s="268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>
        <v>0</v>
      </c>
      <c r="L269" s="19">
        <f t="shared" si="9"/>
        <v>0</v>
      </c>
      <c r="N269" s="268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174454.03</v>
      </c>
      <c r="L270" s="41">
        <f t="shared" si="9"/>
        <v>174454.03</v>
      </c>
      <c r="N270" s="268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8112045.6400000006</v>
      </c>
      <c r="G271" s="42">
        <f t="shared" si="11"/>
        <v>3425204.5099999988</v>
      </c>
      <c r="H271" s="42">
        <f t="shared" si="11"/>
        <v>1922413.81</v>
      </c>
      <c r="I271" s="42">
        <f t="shared" si="11"/>
        <v>549019.62000000011</v>
      </c>
      <c r="J271" s="42">
        <f t="shared" si="11"/>
        <v>59324.24</v>
      </c>
      <c r="K271" s="42">
        <f t="shared" si="11"/>
        <v>201262.53</v>
      </c>
      <c r="L271" s="42">
        <f t="shared" si="11"/>
        <v>14269270.35</v>
      </c>
      <c r="M271" s="8"/>
      <c r="N271" s="270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.2" customHeight="1" x14ac:dyDescent="0.15">
      <c r="A273" s="29" t="s">
        <v>464</v>
      </c>
      <c r="F273" s="175" t="s">
        <v>687</v>
      </c>
      <c r="G273" s="175" t="s">
        <v>688</v>
      </c>
      <c r="H273" s="175" t="s">
        <v>689</v>
      </c>
      <c r="I273" s="175" t="s">
        <v>690</v>
      </c>
      <c r="J273" s="175" t="s">
        <v>691</v>
      </c>
      <c r="K273" s="175" t="s">
        <v>692</v>
      </c>
      <c r="M273" s="8"/>
      <c r="N273" s="270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70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0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349422.40382857143</v>
      </c>
      <c r="G276" s="18">
        <v>104943.47774857143</v>
      </c>
      <c r="H276" s="18">
        <v>1280</v>
      </c>
      <c r="I276" s="18">
        <v>14418.01872</v>
      </c>
      <c r="J276" s="18">
        <v>8705.2199999999993</v>
      </c>
      <c r="K276" s="18">
        <v>37845.820868571434</v>
      </c>
      <c r="L276" s="19">
        <f>SUM(F276:K276)</f>
        <v>516614.94116571429</v>
      </c>
      <c r="M276" s="8"/>
      <c r="N276" s="270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40999.699999999997</v>
      </c>
      <c r="G277" s="18">
        <v>3243.55</v>
      </c>
      <c r="H277" s="18">
        <v>0</v>
      </c>
      <c r="I277" s="18">
        <v>1978.75</v>
      </c>
      <c r="J277" s="18">
        <v>36138.190399999999</v>
      </c>
      <c r="K277" s="18">
        <v>0</v>
      </c>
      <c r="L277" s="19">
        <f>SUM(F277:K277)</f>
        <v>82360.190399999992</v>
      </c>
      <c r="M277" s="8"/>
      <c r="N277" s="270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0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20594.149657142854</v>
      </c>
      <c r="G279" s="18">
        <v>2842.7837942857141</v>
      </c>
      <c r="H279" s="18">
        <v>0</v>
      </c>
      <c r="I279" s="18">
        <v>1910.39</v>
      </c>
      <c r="J279" s="18">
        <v>0</v>
      </c>
      <c r="K279" s="18">
        <v>0</v>
      </c>
      <c r="L279" s="19">
        <f>SUM(F279:K279)</f>
        <v>25347.323451428569</v>
      </c>
      <c r="M279" s="8"/>
      <c r="N279" s="270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0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3478.2423542857141</v>
      </c>
      <c r="G281" s="18">
        <v>869.90369142857151</v>
      </c>
      <c r="H281" s="18">
        <v>53086.300285714286</v>
      </c>
      <c r="I281" s="18">
        <v>11339.823291428571</v>
      </c>
      <c r="J281" s="18">
        <v>0</v>
      </c>
      <c r="K281" s="18">
        <v>0</v>
      </c>
      <c r="L281" s="19">
        <f t="shared" ref="L281:L287" si="12">SUM(F281:K281)</f>
        <v>68774.269622857144</v>
      </c>
      <c r="M281" s="8"/>
      <c r="N281" s="270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56523.51170285714</v>
      </c>
      <c r="G282" s="18">
        <v>18432.696</v>
      </c>
      <c r="H282" s="18">
        <v>91007.751999999993</v>
      </c>
      <c r="I282" s="18">
        <v>11956.526182857142</v>
      </c>
      <c r="J282" s="18">
        <v>23964.142857142855</v>
      </c>
      <c r="K282" s="18">
        <v>2635.1714285714284</v>
      </c>
      <c r="L282" s="19">
        <f t="shared" si="12"/>
        <v>204519.80017142856</v>
      </c>
      <c r="M282" s="8"/>
      <c r="N282" s="270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1167.2571428571428</v>
      </c>
      <c r="I283" s="18">
        <v>0</v>
      </c>
      <c r="J283" s="18">
        <v>0</v>
      </c>
      <c r="K283" s="18">
        <v>0</v>
      </c>
      <c r="L283" s="19">
        <f t="shared" si="12"/>
        <v>1167.2571428571428</v>
      </c>
      <c r="M283" s="8"/>
      <c r="N283" s="270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0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0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0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4452.7393599999996</v>
      </c>
      <c r="G287" s="18">
        <v>361.6091885714286</v>
      </c>
      <c r="H287" s="18">
        <v>2025.9908914285713</v>
      </c>
      <c r="I287" s="18">
        <v>0</v>
      </c>
      <c r="J287" s="18">
        <v>0</v>
      </c>
      <c r="K287" s="18">
        <v>0</v>
      </c>
      <c r="L287" s="19">
        <f t="shared" si="12"/>
        <v>6840.3394399999997</v>
      </c>
      <c r="M287" s="8"/>
      <c r="N287" s="270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0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0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475470.74690285721</v>
      </c>
      <c r="G290" s="42">
        <f t="shared" si="13"/>
        <v>130694.02042285714</v>
      </c>
      <c r="H290" s="42">
        <f t="shared" si="13"/>
        <v>148567.30032000001</v>
      </c>
      <c r="I290" s="42">
        <f t="shared" si="13"/>
        <v>41603.508194285707</v>
      </c>
      <c r="J290" s="42">
        <f t="shared" si="13"/>
        <v>68807.553257142863</v>
      </c>
      <c r="K290" s="42">
        <f t="shared" si="13"/>
        <v>40480.99229714286</v>
      </c>
      <c r="L290" s="41">
        <f t="shared" si="13"/>
        <v>905624.1213942857</v>
      </c>
      <c r="M290" s="8"/>
      <c r="N290" s="270"/>
    </row>
    <row r="291" spans="1:14" s="3" customFormat="1" ht="12.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70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5" t="s">
        <v>687</v>
      </c>
      <c r="G292" s="175" t="s">
        <v>688</v>
      </c>
      <c r="H292" s="175" t="s">
        <v>689</v>
      </c>
      <c r="I292" s="175" t="s">
        <v>690</v>
      </c>
      <c r="J292" s="175" t="s">
        <v>691</v>
      </c>
      <c r="K292" s="175" t="s">
        <v>692</v>
      </c>
      <c r="L292" s="17"/>
      <c r="M292" s="8"/>
      <c r="N292" s="270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70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0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0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0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0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0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0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0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0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0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0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0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0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0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0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0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8"/>
    </row>
    <row r="310" spans="1:14" s="3" customFormat="1" ht="12.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70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5" t="s">
        <v>687</v>
      </c>
      <c r="G311" s="175" t="s">
        <v>688</v>
      </c>
      <c r="H311" s="175" t="s">
        <v>689</v>
      </c>
      <c r="I311" s="175" t="s">
        <v>690</v>
      </c>
      <c r="J311" s="175" t="s">
        <v>691</v>
      </c>
      <c r="K311" s="175" t="s">
        <v>692</v>
      </c>
      <c r="L311" s="20"/>
      <c r="M311" s="8"/>
      <c r="N311" s="270"/>
    </row>
    <row r="312" spans="1:14" s="3" customFormat="1" ht="12.2" customHeight="1" x14ac:dyDescent="0.15">
      <c r="A312" s="29" t="s">
        <v>451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70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0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17780.926171428575</v>
      </c>
      <c r="G314" s="18">
        <v>1890.4122514285716</v>
      </c>
      <c r="H314" s="18">
        <v>1500</v>
      </c>
      <c r="I314" s="18">
        <v>11266.851280000001</v>
      </c>
      <c r="J314" s="18">
        <v>18609.36</v>
      </c>
      <c r="K314" s="18">
        <v>15352.899131428572</v>
      </c>
      <c r="L314" s="19">
        <f>SUM(F314:K314)</f>
        <v>66400.448834285722</v>
      </c>
      <c r="M314" s="8"/>
      <c r="N314" s="270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44341.4</v>
      </c>
      <c r="G315" s="18">
        <v>8225.86</v>
      </c>
      <c r="H315" s="18">
        <v>0</v>
      </c>
      <c r="I315" s="18">
        <v>6568.08</v>
      </c>
      <c r="J315" s="18">
        <v>11260.689600000002</v>
      </c>
      <c r="K315" s="18">
        <v>0</v>
      </c>
      <c r="L315" s="19">
        <f>SUM(F315:K315)</f>
        <v>70396.029600000009</v>
      </c>
      <c r="M315" s="8"/>
      <c r="N315" s="270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0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5417.3403428571428</v>
      </c>
      <c r="G317" s="18">
        <v>414.43620571428573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5831.7765485714281</v>
      </c>
      <c r="M317" s="8"/>
      <c r="N317" s="270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0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1438.4976457142857</v>
      </c>
      <c r="G319" s="18">
        <v>359.76630857142862</v>
      </c>
      <c r="H319" s="18">
        <v>34613.999714285717</v>
      </c>
      <c r="I319" s="18">
        <v>4660.1567085714287</v>
      </c>
      <c r="J319" s="18">
        <v>0</v>
      </c>
      <c r="K319" s="18">
        <v>0</v>
      </c>
      <c r="L319" s="19">
        <f t="shared" ref="L319:L321" si="16">SUM(F319:K319)</f>
        <v>41072.420377142858</v>
      </c>
      <c r="M319" s="8"/>
      <c r="N319" s="270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21591.028297142857</v>
      </c>
      <c r="G320" s="18">
        <v>7176.7040000000006</v>
      </c>
      <c r="H320" s="18">
        <v>27269.758000000002</v>
      </c>
      <c r="I320" s="18">
        <v>4944.8638171428574</v>
      </c>
      <c r="J320" s="18">
        <v>9910.8571428571431</v>
      </c>
      <c r="K320" s="18">
        <v>1089.8285714285714</v>
      </c>
      <c r="L320" s="19">
        <f t="shared" si="16"/>
        <v>71983.039828571433</v>
      </c>
      <c r="M320" s="8"/>
      <c r="N320" s="270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0</v>
      </c>
      <c r="G321" s="18">
        <v>-11.28</v>
      </c>
      <c r="H321" s="18">
        <v>482.74285714285719</v>
      </c>
      <c r="I321" s="18">
        <v>0</v>
      </c>
      <c r="J321" s="18">
        <v>0</v>
      </c>
      <c r="K321" s="18">
        <v>0</v>
      </c>
      <c r="L321" s="19">
        <f t="shared" si="16"/>
        <v>471.46285714285722</v>
      </c>
      <c r="M321" s="8"/>
      <c r="N321" s="270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>SUM(F322:K322)</f>
        <v>0</v>
      </c>
      <c r="M322" s="8"/>
      <c r="N322" s="270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>SUM(F323:K323)</f>
        <v>0</v>
      </c>
      <c r="M323" s="8"/>
      <c r="N323" s="270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>SUM(F324:K324)</f>
        <v>0</v>
      </c>
      <c r="M324" s="8"/>
      <c r="N324" s="270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1841.5206400000002</v>
      </c>
      <c r="G325" s="18">
        <v>149.55081142857145</v>
      </c>
      <c r="H325" s="18">
        <v>1048.8291085714286</v>
      </c>
      <c r="I325" s="18">
        <v>0</v>
      </c>
      <c r="J325" s="18">
        <v>0</v>
      </c>
      <c r="K325" s="18">
        <v>0</v>
      </c>
      <c r="L325" s="19">
        <f>SUM(F325:K325)</f>
        <v>3039.90056</v>
      </c>
      <c r="M325" s="8"/>
      <c r="N325" s="270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0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0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92410.713097142871</v>
      </c>
      <c r="G328" s="42">
        <f t="shared" si="17"/>
        <v>18205.449577142863</v>
      </c>
      <c r="H328" s="42">
        <f t="shared" si="17"/>
        <v>64915.329680000003</v>
      </c>
      <c r="I328" s="42">
        <f t="shared" si="17"/>
        <v>27439.951805714289</v>
      </c>
      <c r="J328" s="42">
        <f t="shared" si="17"/>
        <v>39780.906742857143</v>
      </c>
      <c r="K328" s="42">
        <f t="shared" si="17"/>
        <v>16442.727702857144</v>
      </c>
      <c r="L328" s="41">
        <f t="shared" si="17"/>
        <v>259195.07860571428</v>
      </c>
      <c r="M328" s="8"/>
      <c r="N328" s="270"/>
    </row>
    <row r="329" spans="1:14" s="3" customFormat="1" ht="12.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70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5" t="s">
        <v>687</v>
      </c>
      <c r="G330" s="175" t="s">
        <v>688</v>
      </c>
      <c r="H330" s="175" t="s">
        <v>689</v>
      </c>
      <c r="I330" s="175" t="s">
        <v>690</v>
      </c>
      <c r="J330" s="175" t="s">
        <v>691</v>
      </c>
      <c r="K330" s="175" t="s">
        <v>692</v>
      </c>
      <c r="L330" s="19"/>
      <c r="M330" s="8"/>
      <c r="N330" s="270"/>
    </row>
    <row r="331" spans="1:14" s="3" customFormat="1" ht="12.2" customHeight="1" x14ac:dyDescent="0.15">
      <c r="A331" s="29" t="s">
        <v>359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70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0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0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0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0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0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567881.46000000008</v>
      </c>
      <c r="G338" s="41">
        <f t="shared" si="20"/>
        <v>148899.47</v>
      </c>
      <c r="H338" s="41">
        <f t="shared" si="20"/>
        <v>213482.63</v>
      </c>
      <c r="I338" s="41">
        <f t="shared" si="20"/>
        <v>69043.459999999992</v>
      </c>
      <c r="J338" s="41">
        <f t="shared" si="20"/>
        <v>108588.46</v>
      </c>
      <c r="K338" s="41">
        <f t="shared" si="20"/>
        <v>56923.72</v>
      </c>
      <c r="L338" s="41">
        <f t="shared" si="20"/>
        <v>1164819.2</v>
      </c>
      <c r="M338" s="8"/>
      <c r="N338" s="270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0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>
        <v>0</v>
      </c>
      <c r="L341" s="19">
        <f>SUM(F341:K341)</f>
        <v>0</v>
      </c>
      <c r="M341" s="8"/>
      <c r="N341" s="270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>
        <v>0</v>
      </c>
      <c r="L342" s="19">
        <f>SUM(F342:K342)</f>
        <v>0</v>
      </c>
      <c r="M342" s="8"/>
      <c r="N342" s="270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69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0</v>
      </c>
      <c r="L344" s="19">
        <f t="shared" ref="L344:L350" si="21">SUM(F344:K344)</f>
        <v>0</v>
      </c>
      <c r="M344" s="8"/>
      <c r="N344" s="270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>
        <v>0</v>
      </c>
      <c r="L345" s="19">
        <f t="shared" si="21"/>
        <v>0</v>
      </c>
      <c r="M345" s="8"/>
      <c r="N345" s="270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>
        <v>0</v>
      </c>
      <c r="L346" s="19">
        <f t="shared" si="21"/>
        <v>0</v>
      </c>
      <c r="M346" s="8"/>
      <c r="N346" s="270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>
        <v>0</v>
      </c>
      <c r="L347" s="19">
        <f t="shared" si="21"/>
        <v>0</v>
      </c>
      <c r="M347" s="8"/>
      <c r="N347" s="270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0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>
        <v>0</v>
      </c>
      <c r="L349" s="19">
        <f t="shared" si="21"/>
        <v>0</v>
      </c>
      <c r="M349" s="8"/>
      <c r="N349" s="270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0</v>
      </c>
      <c r="L350" s="19">
        <f t="shared" si="21"/>
        <v>0</v>
      </c>
      <c r="M350" s="8"/>
      <c r="N350" s="270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567881.46000000008</v>
      </c>
      <c r="G352" s="41">
        <f>G338</f>
        <v>148899.47</v>
      </c>
      <c r="H352" s="41">
        <f>H338</f>
        <v>213482.63</v>
      </c>
      <c r="I352" s="41">
        <f>I338</f>
        <v>69043.459999999992</v>
      </c>
      <c r="J352" s="41">
        <f>J338</f>
        <v>108588.46</v>
      </c>
      <c r="K352" s="47">
        <f>K338+K351</f>
        <v>56923.72</v>
      </c>
      <c r="L352" s="41">
        <f>L338+L351</f>
        <v>1164819.2</v>
      </c>
      <c r="M352" s="52"/>
      <c r="N352" s="269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70"/>
    </row>
    <row r="354" spans="1:22" s="3" customFormat="1" ht="12.2" customHeight="1" x14ac:dyDescent="0.2">
      <c r="A354" s="54"/>
      <c r="B354" s="52"/>
      <c r="C354" s="52"/>
      <c r="D354" s="52"/>
      <c r="E354" s="52"/>
      <c r="F354" s="175" t="s">
        <v>687</v>
      </c>
      <c r="G354" s="175" t="s">
        <v>688</v>
      </c>
      <c r="H354" s="175" t="s">
        <v>689</v>
      </c>
      <c r="I354" s="175" t="s">
        <v>690</v>
      </c>
      <c r="J354" s="175" t="s">
        <v>691</v>
      </c>
      <c r="K354" s="175" t="s">
        <v>692</v>
      </c>
      <c r="L354" s="53"/>
      <c r="M354" s="8"/>
      <c r="N354" s="270"/>
    </row>
    <row r="355" spans="1:22" s="3" customFormat="1" ht="12.2" customHeight="1" x14ac:dyDescent="0.15">
      <c r="A355" s="29" t="s">
        <v>279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70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0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0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0</v>
      </c>
      <c r="G358" s="18">
        <v>0</v>
      </c>
      <c r="H358" s="18">
        <v>325662.35882285715</v>
      </c>
      <c r="I358" s="18">
        <v>23414.301074285715</v>
      </c>
      <c r="J358" s="18">
        <v>0</v>
      </c>
      <c r="K358" s="18">
        <v>0</v>
      </c>
      <c r="L358" s="13">
        <f>SUM(F358:K358)</f>
        <v>349076.65989714285</v>
      </c>
      <c r="N358" s="268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0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0</v>
      </c>
      <c r="G360" s="18">
        <v>0</v>
      </c>
      <c r="H360" s="18">
        <v>134684.27117714286</v>
      </c>
      <c r="I360" s="18">
        <v>9683.458925714287</v>
      </c>
      <c r="J360" s="18">
        <v>0</v>
      </c>
      <c r="K360" s="18">
        <v>0</v>
      </c>
      <c r="L360" s="19">
        <f>SUM(F360:K360)</f>
        <v>144367.73010285714</v>
      </c>
      <c r="M360" s="8"/>
      <c r="N360" s="270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>
        <v>0</v>
      </c>
      <c r="L361" s="13">
        <f>SUM(F361:K361)</f>
        <v>0</v>
      </c>
      <c r="M361" s="8"/>
      <c r="N361" s="270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460346.63</v>
      </c>
      <c r="I362" s="47">
        <f t="shared" si="22"/>
        <v>33097.760000000002</v>
      </c>
      <c r="J362" s="47">
        <f t="shared" si="22"/>
        <v>0</v>
      </c>
      <c r="K362" s="47">
        <f t="shared" si="22"/>
        <v>0</v>
      </c>
      <c r="L362" s="47">
        <f t="shared" si="22"/>
        <v>493444.39</v>
      </c>
      <c r="M362" s="8"/>
      <c r="N362" s="270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0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0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0</v>
      </c>
      <c r="G367" s="18">
        <v>0</v>
      </c>
      <c r="H367" s="18">
        <v>0</v>
      </c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0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18">
        <f>I358</f>
        <v>23414.301074285715</v>
      </c>
      <c r="G368" s="18">
        <f>I359</f>
        <v>0</v>
      </c>
      <c r="H368" s="18">
        <f>I360</f>
        <v>9683.458925714287</v>
      </c>
      <c r="I368" s="56">
        <f>SUM(F368:H368)</f>
        <v>33097.760000000002</v>
      </c>
      <c r="J368" s="24" t="s">
        <v>286</v>
      </c>
      <c r="K368" s="24" t="s">
        <v>286</v>
      </c>
      <c r="L368" s="24" t="s">
        <v>286</v>
      </c>
      <c r="M368" s="8"/>
      <c r="N368" s="270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23414.301074285715</v>
      </c>
      <c r="G369" s="47">
        <f>SUM(G367:G368)</f>
        <v>0</v>
      </c>
      <c r="H369" s="47">
        <f>SUM(H367:H368)</f>
        <v>9683.458925714287</v>
      </c>
      <c r="I369" s="47">
        <f>SUM(I367:I368)</f>
        <v>33097.760000000002</v>
      </c>
      <c r="J369" s="24" t="s">
        <v>286</v>
      </c>
      <c r="K369" s="24" t="s">
        <v>286</v>
      </c>
      <c r="L369" s="24" t="s">
        <v>286</v>
      </c>
      <c r="M369" s="8"/>
      <c r="N369" s="270"/>
    </row>
    <row r="370" spans="1:14" s="3" customFormat="1" ht="12.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70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5" t="s">
        <v>687</v>
      </c>
      <c r="G371" s="175" t="s">
        <v>688</v>
      </c>
      <c r="H371" s="175" t="s">
        <v>689</v>
      </c>
      <c r="I371" s="175" t="s">
        <v>690</v>
      </c>
      <c r="J371" s="175" t="s">
        <v>691</v>
      </c>
      <c r="K371" s="175" t="s">
        <v>692</v>
      </c>
      <c r="L371" s="13"/>
      <c r="M371" s="8"/>
      <c r="N371" s="270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70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0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0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0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0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0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0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0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0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>
        <v>0</v>
      </c>
      <c r="L381" s="13">
        <f t="shared" si="23"/>
        <v>0</v>
      </c>
      <c r="M381" s="8"/>
      <c r="N381" s="270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8">
        <f>SUM(F374:F381)</f>
        <v>0</v>
      </c>
      <c r="G382" s="138">
        <f t="shared" ref="G382:L382" si="24">SUM(G374:G381)</f>
        <v>0</v>
      </c>
      <c r="H382" s="138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.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70"/>
    </row>
    <row r="384" spans="1:14" s="3" customFormat="1" ht="12.2" customHeight="1" x14ac:dyDescent="0.15">
      <c r="A384" s="26" t="s">
        <v>480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70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0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6" t="s">
        <v>338</v>
      </c>
      <c r="M386" s="8"/>
      <c r="N386" s="270"/>
    </row>
    <row r="387" spans="1:14" s="3" customFormat="1" ht="12.2" customHeight="1" x14ac:dyDescent="0.15">
      <c r="A387" s="78" t="s">
        <v>548</v>
      </c>
      <c r="B387" s="2" t="s">
        <v>379</v>
      </c>
      <c r="C387" s="6">
        <v>1</v>
      </c>
      <c r="D387" s="2" t="s">
        <v>430</v>
      </c>
      <c r="F387" s="18">
        <v>0</v>
      </c>
      <c r="G387" s="18">
        <v>0</v>
      </c>
      <c r="H387" s="18">
        <v>0</v>
      </c>
      <c r="I387" s="18">
        <v>0</v>
      </c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0"/>
    </row>
    <row r="388" spans="1:14" s="3" customFormat="1" ht="12.2" customHeight="1" x14ac:dyDescent="0.15">
      <c r="A388" s="78" t="s">
        <v>549</v>
      </c>
      <c r="B388" s="2" t="s">
        <v>379</v>
      </c>
      <c r="C388" s="6">
        <v>2</v>
      </c>
      <c r="D388" s="2" t="s">
        <v>430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286</v>
      </c>
      <c r="K388" s="24" t="s">
        <v>286</v>
      </c>
      <c r="L388" s="56">
        <f t="shared" si="25"/>
        <v>0</v>
      </c>
      <c r="M388" s="8"/>
      <c r="N388" s="270"/>
    </row>
    <row r="389" spans="1:14" s="3" customFormat="1" ht="12.2" customHeight="1" x14ac:dyDescent="0.15">
      <c r="A389" s="78" t="s">
        <v>550</v>
      </c>
      <c r="B389" s="2" t="s">
        <v>379</v>
      </c>
      <c r="C389" s="6">
        <v>3</v>
      </c>
      <c r="D389" s="2" t="s">
        <v>430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286</v>
      </c>
      <c r="K389" s="24" t="s">
        <v>286</v>
      </c>
      <c r="L389" s="56">
        <f t="shared" si="25"/>
        <v>0</v>
      </c>
      <c r="M389" s="8"/>
      <c r="N389" s="270"/>
    </row>
    <row r="390" spans="1:14" s="3" customFormat="1" ht="12.2" customHeight="1" x14ac:dyDescent="0.15">
      <c r="A390" s="78" t="s">
        <v>551</v>
      </c>
      <c r="B390" s="2" t="s">
        <v>379</v>
      </c>
      <c r="C390" s="6">
        <v>4</v>
      </c>
      <c r="D390" s="2" t="s">
        <v>430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286</v>
      </c>
      <c r="K390" s="24" t="s">
        <v>286</v>
      </c>
      <c r="L390" s="56">
        <f t="shared" si="25"/>
        <v>0</v>
      </c>
      <c r="M390" s="8"/>
      <c r="N390" s="270"/>
    </row>
    <row r="391" spans="1:14" s="3" customFormat="1" ht="12.2" customHeight="1" x14ac:dyDescent="0.15">
      <c r="A391" s="78" t="s">
        <v>552</v>
      </c>
      <c r="B391" s="2" t="s">
        <v>379</v>
      </c>
      <c r="C391" s="6">
        <v>5</v>
      </c>
      <c r="D391" s="2" t="s">
        <v>430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286</v>
      </c>
      <c r="K391" s="24" t="s">
        <v>286</v>
      </c>
      <c r="L391" s="56">
        <f t="shared" si="25"/>
        <v>0</v>
      </c>
      <c r="M391" s="8"/>
      <c r="N391" s="270"/>
    </row>
    <row r="392" spans="1:14" s="3" customFormat="1" ht="12.2" customHeight="1" thickBot="1" x14ac:dyDescent="0.2">
      <c r="A392" s="78" t="s">
        <v>553</v>
      </c>
      <c r="B392" s="2" t="s">
        <v>379</v>
      </c>
      <c r="C392" s="6">
        <v>6</v>
      </c>
      <c r="D392" s="2" t="s">
        <v>430</v>
      </c>
      <c r="E392" s="6"/>
      <c r="F392" s="18">
        <v>0</v>
      </c>
      <c r="G392" s="18">
        <v>100000</v>
      </c>
      <c r="H392" s="18">
        <v>6836</v>
      </c>
      <c r="I392" s="18">
        <v>0</v>
      </c>
      <c r="J392" s="24" t="s">
        <v>286</v>
      </c>
      <c r="K392" s="24" t="s">
        <v>286</v>
      </c>
      <c r="L392" s="56">
        <f t="shared" si="25"/>
        <v>106836</v>
      </c>
      <c r="M392" s="8"/>
      <c r="N392" s="270"/>
    </row>
    <row r="393" spans="1:14" s="3" customFormat="1" ht="12.2" customHeight="1" thickTop="1" x14ac:dyDescent="0.15">
      <c r="A393" s="158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8">
        <f>SUM(F387:F392)</f>
        <v>0</v>
      </c>
      <c r="G393" s="138">
        <f>SUM(G387:G392)</f>
        <v>100000</v>
      </c>
      <c r="H393" s="138">
        <f>SUM(H387:H392)</f>
        <v>6836</v>
      </c>
      <c r="I393" s="64">
        <f>SUM(I387:I392)</f>
        <v>0</v>
      </c>
      <c r="J393" s="45" t="s">
        <v>286</v>
      </c>
      <c r="K393" s="45" t="s">
        <v>286</v>
      </c>
      <c r="L393" s="47">
        <f>SUM(L387:L392)</f>
        <v>106836</v>
      </c>
      <c r="M393" s="8"/>
      <c r="N393" s="270"/>
    </row>
    <row r="394" spans="1:14" s="3" customFormat="1" ht="12.2" customHeight="1" x14ac:dyDescent="0.15">
      <c r="A394" s="77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0"/>
    </row>
    <row r="395" spans="1:14" s="3" customFormat="1" ht="12.2" customHeight="1" x14ac:dyDescent="0.15">
      <c r="A395" s="78" t="s">
        <v>554</v>
      </c>
      <c r="B395" s="2" t="s">
        <v>379</v>
      </c>
      <c r="C395" s="6">
        <v>8</v>
      </c>
      <c r="D395" s="2" t="s">
        <v>430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0"/>
    </row>
    <row r="396" spans="1:14" s="3" customFormat="1" ht="12.2" customHeight="1" x14ac:dyDescent="0.15">
      <c r="A396" s="78" t="s">
        <v>555</v>
      </c>
      <c r="B396" s="2" t="s">
        <v>379</v>
      </c>
      <c r="C396" s="6">
        <v>9</v>
      </c>
      <c r="D396" s="2" t="s">
        <v>430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286</v>
      </c>
      <c r="K396" s="24" t="s">
        <v>286</v>
      </c>
      <c r="L396" s="56">
        <f t="shared" si="26"/>
        <v>0</v>
      </c>
      <c r="M396" s="8"/>
      <c r="N396" s="270"/>
    </row>
    <row r="397" spans="1:14" s="3" customFormat="1" ht="12.2" customHeight="1" x14ac:dyDescent="0.15">
      <c r="A397" s="78" t="s">
        <v>513</v>
      </c>
      <c r="B397" s="2" t="s">
        <v>379</v>
      </c>
      <c r="C397" s="6">
        <v>10</v>
      </c>
      <c r="D397" s="2" t="s">
        <v>430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286</v>
      </c>
      <c r="K397" s="24" t="s">
        <v>286</v>
      </c>
      <c r="L397" s="56">
        <f t="shared" si="26"/>
        <v>0</v>
      </c>
      <c r="M397" s="8"/>
      <c r="N397" s="270"/>
    </row>
    <row r="398" spans="1:14" s="3" customFormat="1" ht="12.2" customHeight="1" x14ac:dyDescent="0.15">
      <c r="A398" s="78" t="s">
        <v>556</v>
      </c>
      <c r="B398" s="2" t="s">
        <v>379</v>
      </c>
      <c r="C398" s="6">
        <v>11</v>
      </c>
      <c r="D398" s="2" t="s">
        <v>430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286</v>
      </c>
      <c r="K398" s="24" t="s">
        <v>286</v>
      </c>
      <c r="L398" s="56">
        <f t="shared" si="26"/>
        <v>0</v>
      </c>
      <c r="M398" s="8"/>
      <c r="N398" s="270"/>
    </row>
    <row r="399" spans="1:14" s="3" customFormat="1" ht="12.2" customHeight="1" x14ac:dyDescent="0.15">
      <c r="A399" s="78" t="s">
        <v>557</v>
      </c>
      <c r="B399" s="2" t="s">
        <v>379</v>
      </c>
      <c r="C399" s="6">
        <v>12</v>
      </c>
      <c r="D399" s="2" t="s">
        <v>430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286</v>
      </c>
      <c r="K399" s="24" t="s">
        <v>286</v>
      </c>
      <c r="L399" s="56">
        <f t="shared" si="26"/>
        <v>0</v>
      </c>
      <c r="M399" s="8"/>
      <c r="N399" s="270"/>
    </row>
    <row r="400" spans="1:14" s="3" customFormat="1" ht="12.2" customHeight="1" thickBot="1" x14ac:dyDescent="0.2">
      <c r="A400" s="78" t="s">
        <v>508</v>
      </c>
      <c r="B400" s="2" t="s">
        <v>379</v>
      </c>
      <c r="C400" s="6">
        <v>13</v>
      </c>
      <c r="D400" s="2" t="s">
        <v>430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286</v>
      </c>
      <c r="K400" s="24" t="s">
        <v>286</v>
      </c>
      <c r="L400" s="56">
        <f t="shared" si="26"/>
        <v>0</v>
      </c>
      <c r="M400" s="8"/>
      <c r="N400" s="270"/>
    </row>
    <row r="401" spans="1:35" s="3" customFormat="1" ht="12.2" customHeight="1" thickTop="1" x14ac:dyDescent="0.15">
      <c r="A401" s="158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0"/>
    </row>
    <row r="402" spans="1:35" s="3" customFormat="1" ht="12.2" customHeight="1" x14ac:dyDescent="0.15">
      <c r="A402" s="77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0"/>
    </row>
    <row r="403" spans="1:35" s="3" customFormat="1" ht="12.2" customHeight="1" x14ac:dyDescent="0.15">
      <c r="A403" s="109"/>
      <c r="B403" s="2" t="s">
        <v>379</v>
      </c>
      <c r="C403" s="6">
        <v>15</v>
      </c>
      <c r="D403" s="2" t="s">
        <v>430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286</v>
      </c>
      <c r="K403" s="24" t="s">
        <v>286</v>
      </c>
      <c r="L403" s="56">
        <f>SUM(F403:K403)</f>
        <v>0</v>
      </c>
      <c r="M403" s="8"/>
      <c r="N403" s="270"/>
    </row>
    <row r="404" spans="1:35" s="3" customFormat="1" ht="12.2" customHeight="1" x14ac:dyDescent="0.15">
      <c r="A404" s="109"/>
      <c r="B404" s="2" t="s">
        <v>379</v>
      </c>
      <c r="C404" s="6">
        <v>16</v>
      </c>
      <c r="D404" s="2" t="s">
        <v>430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286</v>
      </c>
      <c r="K404" s="24" t="s">
        <v>286</v>
      </c>
      <c r="L404" s="56">
        <f>SUM(F404:K404)</f>
        <v>0</v>
      </c>
      <c r="M404" s="8"/>
      <c r="N404" s="270"/>
    </row>
    <row r="405" spans="1:35" s="3" customFormat="1" ht="12.2" customHeight="1" x14ac:dyDescent="0.15">
      <c r="A405" s="109"/>
      <c r="B405" s="2" t="s">
        <v>379</v>
      </c>
      <c r="C405" s="6">
        <v>17</v>
      </c>
      <c r="D405" s="2" t="s">
        <v>430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286</v>
      </c>
      <c r="K405" s="24" t="s">
        <v>286</v>
      </c>
      <c r="L405" s="56">
        <f>SUM(F405:K405)</f>
        <v>0</v>
      </c>
      <c r="M405" s="8"/>
      <c r="N405" s="270"/>
    </row>
    <row r="406" spans="1:35" s="3" customFormat="1" ht="12.2" customHeight="1" thickBot="1" x14ac:dyDescent="0.2">
      <c r="A406" s="109"/>
      <c r="B406" s="2" t="s">
        <v>379</v>
      </c>
      <c r="C406" s="6">
        <v>18</v>
      </c>
      <c r="D406" s="2" t="s">
        <v>430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286</v>
      </c>
      <c r="K406" s="24" t="s">
        <v>286</v>
      </c>
      <c r="L406" s="56">
        <f>SUM(F406:K406)</f>
        <v>0</v>
      </c>
      <c r="M406" s="8"/>
      <c r="N406" s="270"/>
    </row>
    <row r="407" spans="1:35" s="3" customFormat="1" ht="12.2" customHeight="1" thickTop="1" thickBot="1" x14ac:dyDescent="0.2">
      <c r="A407" s="158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0"/>
    </row>
    <row r="408" spans="1:35" s="3" customFormat="1" ht="12.2" customHeight="1" thickTop="1" x14ac:dyDescent="0.15">
      <c r="A408" s="77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6836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106836</v>
      </c>
      <c r="M408" s="8"/>
      <c r="N408" s="270"/>
    </row>
    <row r="409" spans="1:35" s="3" customFormat="1" ht="12.2" customHeight="1" x14ac:dyDescent="0.15">
      <c r="A409" s="77"/>
      <c r="B409" s="2"/>
      <c r="C409" s="6"/>
      <c r="D409" s="6"/>
      <c r="E409" s="6"/>
      <c r="F409" s="175" t="s">
        <v>687</v>
      </c>
      <c r="G409" s="175" t="s">
        <v>688</v>
      </c>
      <c r="H409" s="175" t="s">
        <v>689</v>
      </c>
      <c r="I409" s="175" t="s">
        <v>690</v>
      </c>
      <c r="J409" s="175" t="s">
        <v>691</v>
      </c>
      <c r="K409" s="175" t="s">
        <v>692</v>
      </c>
      <c r="L409" s="56"/>
      <c r="M409" s="8"/>
      <c r="N409" s="270"/>
    </row>
    <row r="410" spans="1:35" s="3" customFormat="1" ht="12.2" customHeight="1" x14ac:dyDescent="0.15">
      <c r="A410" s="26" t="s">
        <v>480</v>
      </c>
      <c r="B410" s="75"/>
      <c r="C410" s="75"/>
      <c r="D410" s="75"/>
      <c r="E410" s="75"/>
      <c r="F410" s="65"/>
      <c r="G410" s="16" t="s">
        <v>382</v>
      </c>
      <c r="H410" s="16" t="s">
        <v>383</v>
      </c>
      <c r="I410" s="66"/>
      <c r="J410" s="56"/>
      <c r="K410" s="56"/>
      <c r="L410" s="56"/>
      <c r="M410" s="8"/>
      <c r="N410" s="270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6" t="s">
        <v>338</v>
      </c>
      <c r="M411" s="8"/>
      <c r="N411" s="270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0"/>
    </row>
    <row r="413" spans="1:35" s="3" customFormat="1" ht="12.2" customHeight="1" x14ac:dyDescent="0.15">
      <c r="A413" s="78" t="s">
        <v>548</v>
      </c>
      <c r="B413" s="6">
        <v>17</v>
      </c>
      <c r="C413" s="6">
        <v>1</v>
      </c>
      <c r="D413" s="2" t="s">
        <v>430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0"/>
    </row>
    <row r="414" spans="1:35" s="12" customFormat="1" ht="12.2" customHeight="1" thickBot="1" x14ac:dyDescent="0.25">
      <c r="A414" s="78" t="s">
        <v>549</v>
      </c>
      <c r="B414" s="6">
        <v>17</v>
      </c>
      <c r="C414" s="6">
        <v>2</v>
      </c>
      <c r="D414" s="2" t="s">
        <v>430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69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8" t="s">
        <v>550</v>
      </c>
      <c r="B415" s="6">
        <v>17</v>
      </c>
      <c r="C415" s="6">
        <v>3</v>
      </c>
      <c r="D415" s="2" t="s">
        <v>430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5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8" t="s">
        <v>551</v>
      </c>
      <c r="B416" s="6">
        <v>17</v>
      </c>
      <c r="C416" s="6">
        <v>4</v>
      </c>
      <c r="D416" s="2" t="s">
        <v>430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0"/>
    </row>
    <row r="417" spans="1:35" s="3" customFormat="1" ht="12.2" customHeight="1" x14ac:dyDescent="0.15">
      <c r="A417" s="78" t="s">
        <v>552</v>
      </c>
      <c r="B417" s="6">
        <v>17</v>
      </c>
      <c r="C417" s="6">
        <v>5</v>
      </c>
      <c r="D417" s="2" t="s">
        <v>430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26315.75</v>
      </c>
      <c r="K417" s="18">
        <v>0</v>
      </c>
      <c r="L417" s="56">
        <f t="shared" si="27"/>
        <v>26315.75</v>
      </c>
      <c r="M417" s="8"/>
      <c r="N417" s="270"/>
    </row>
    <row r="418" spans="1:35" s="3" customFormat="1" ht="12.2" customHeight="1" thickBot="1" x14ac:dyDescent="0.2">
      <c r="A418" s="78" t="s">
        <v>553</v>
      </c>
      <c r="B418" s="6">
        <v>17</v>
      </c>
      <c r="C418" s="6">
        <v>6</v>
      </c>
      <c r="D418" s="2" t="s">
        <v>430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0"/>
    </row>
    <row r="419" spans="1:35" s="3" customFormat="1" ht="12.2" customHeight="1" thickTop="1" x14ac:dyDescent="0.15">
      <c r="A419" s="158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26315.75</v>
      </c>
      <c r="K419" s="138">
        <f t="shared" si="28"/>
        <v>0</v>
      </c>
      <c r="L419" s="47">
        <f t="shared" si="28"/>
        <v>26315.75</v>
      </c>
      <c r="M419" s="8"/>
      <c r="N419" s="270"/>
    </row>
    <row r="420" spans="1:35" s="3" customFormat="1" ht="12.2" customHeight="1" x14ac:dyDescent="0.15">
      <c r="A420" s="77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0"/>
    </row>
    <row r="421" spans="1:35" s="3" customFormat="1" ht="12.2" customHeight="1" x14ac:dyDescent="0.15">
      <c r="A421" s="78" t="s">
        <v>554</v>
      </c>
      <c r="B421" s="6">
        <v>17</v>
      </c>
      <c r="C421" s="6">
        <v>8</v>
      </c>
      <c r="D421" s="2" t="s">
        <v>430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0"/>
    </row>
    <row r="422" spans="1:35" s="3" customFormat="1" ht="12.2" customHeight="1" x14ac:dyDescent="0.15">
      <c r="A422" s="78" t="s">
        <v>555</v>
      </c>
      <c r="B422" s="6">
        <v>17</v>
      </c>
      <c r="C422" s="6">
        <v>9</v>
      </c>
      <c r="D422" s="2" t="s">
        <v>430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82539.25</v>
      </c>
      <c r="L422" s="56">
        <f t="shared" si="29"/>
        <v>82539.25</v>
      </c>
      <c r="M422" s="8"/>
      <c r="N422" s="270"/>
    </row>
    <row r="423" spans="1:35" s="3" customFormat="1" ht="12.2" customHeight="1" x14ac:dyDescent="0.15">
      <c r="A423" s="78" t="s">
        <v>513</v>
      </c>
      <c r="B423" s="6">
        <v>17</v>
      </c>
      <c r="C423" s="6">
        <v>10</v>
      </c>
      <c r="D423" s="2" t="s">
        <v>430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0"/>
    </row>
    <row r="424" spans="1:35" s="3" customFormat="1" ht="12.2" customHeight="1" x14ac:dyDescent="0.15">
      <c r="A424" s="78" t="s">
        <v>556</v>
      </c>
      <c r="B424" s="6">
        <v>17</v>
      </c>
      <c r="C424" s="6">
        <v>11</v>
      </c>
      <c r="D424" s="2" t="s">
        <v>430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0"/>
    </row>
    <row r="425" spans="1:35" s="3" customFormat="1" ht="12.2" customHeight="1" x14ac:dyDescent="0.15">
      <c r="A425" s="78" t="s">
        <v>557</v>
      </c>
      <c r="B425" s="6">
        <v>17</v>
      </c>
      <c r="C425" s="6">
        <v>12</v>
      </c>
      <c r="D425" s="2" t="s">
        <v>430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0"/>
    </row>
    <row r="426" spans="1:35" s="3" customFormat="1" ht="12.2" customHeight="1" thickBot="1" x14ac:dyDescent="0.2">
      <c r="A426" s="78" t="s">
        <v>508</v>
      </c>
      <c r="B426" s="6">
        <v>17</v>
      </c>
      <c r="C426" s="6">
        <v>13</v>
      </c>
      <c r="D426" s="2" t="s">
        <v>430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0"/>
    </row>
    <row r="427" spans="1:35" s="3" customFormat="1" ht="12.2" customHeight="1" thickTop="1" x14ac:dyDescent="0.15">
      <c r="A427" s="158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82539.25</v>
      </c>
      <c r="L427" s="47">
        <f t="shared" si="30"/>
        <v>82539.25</v>
      </c>
      <c r="M427" s="8"/>
      <c r="N427" s="270"/>
    </row>
    <row r="428" spans="1:35" s="11" customFormat="1" ht="12.2" customHeight="1" x14ac:dyDescent="0.15">
      <c r="A428" s="77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7"/>
      <c r="N428" s="225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09"/>
      <c r="B429" s="6">
        <v>17</v>
      </c>
      <c r="C429" s="6">
        <v>15</v>
      </c>
      <c r="D429" s="2" t="s">
        <v>430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7"/>
      <c r="N429" s="225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09"/>
      <c r="B430" s="6">
        <v>17</v>
      </c>
      <c r="C430" s="6">
        <v>16</v>
      </c>
      <c r="D430" s="2" t="s">
        <v>430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7"/>
      <c r="N430" s="225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09"/>
      <c r="B431" s="6">
        <v>17</v>
      </c>
      <c r="C431" s="6">
        <v>17</v>
      </c>
      <c r="D431" s="2" t="s">
        <v>430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68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09"/>
      <c r="B432" s="6">
        <v>17</v>
      </c>
      <c r="C432" s="6">
        <v>18</v>
      </c>
      <c r="D432" s="2" t="s">
        <v>430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0"/>
    </row>
    <row r="433" spans="1:14" s="3" customFormat="1" ht="12.2" customHeight="1" thickTop="1" thickBot="1" x14ac:dyDescent="0.2">
      <c r="A433" s="158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.2" customHeight="1" thickTop="1" x14ac:dyDescent="0.15">
      <c r="A434" s="77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26315.75</v>
      </c>
      <c r="K434" s="47">
        <f t="shared" si="32"/>
        <v>82539.25</v>
      </c>
      <c r="L434" s="47">
        <f t="shared" si="32"/>
        <v>108855</v>
      </c>
      <c r="M434" s="8"/>
      <c r="N434" s="270"/>
    </row>
    <row r="435" spans="1:14" s="3" customFormat="1" ht="12.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0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0"/>
    </row>
    <row r="440" spans="1:14" s="3" customFormat="1" ht="12.2" customHeight="1" x14ac:dyDescent="0.15">
      <c r="A440" s="68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0"/>
    </row>
    <row r="441" spans="1:14" s="3" customFormat="1" ht="12.2" customHeight="1" x14ac:dyDescent="0.15">
      <c r="A441" s="68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0"/>
    </row>
    <row r="442" spans="1:14" s="3" customFormat="1" ht="12.2" customHeight="1" x14ac:dyDescent="0.15">
      <c r="A442" s="68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f>742226.07+22307.57+34304.47+157010.02+14921.58+126165.73+90521.71+19951.67+54858.42+203201.86+100417.9</f>
        <v>1565886.9999999995</v>
      </c>
      <c r="G442" s="18">
        <v>0</v>
      </c>
      <c r="H442" s="18">
        <v>0</v>
      </c>
      <c r="I442" s="56">
        <f t="shared" si="33"/>
        <v>1565886.9999999995</v>
      </c>
      <c r="J442" s="24" t="s">
        <v>286</v>
      </c>
      <c r="K442" s="24" t="s">
        <v>286</v>
      </c>
      <c r="L442" s="24" t="s">
        <v>286</v>
      </c>
      <c r="M442" s="8"/>
      <c r="N442" s="270"/>
    </row>
    <row r="443" spans="1:14" s="3" customFormat="1" ht="12.2" customHeight="1" x14ac:dyDescent="0.15">
      <c r="A443" s="68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0"/>
    </row>
    <row r="444" spans="1:14" s="3" customFormat="1" ht="12.2" customHeight="1" x14ac:dyDescent="0.15">
      <c r="A444" s="68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0"/>
    </row>
    <row r="445" spans="1:14" s="3" customFormat="1" ht="12.2" customHeight="1" x14ac:dyDescent="0.15">
      <c r="A445" s="68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0"/>
    </row>
    <row r="446" spans="1:14" s="3" customFormat="1" ht="12.2" customHeight="1" thickBot="1" x14ac:dyDescent="0.2">
      <c r="A446" s="69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1565886.9999999995</v>
      </c>
      <c r="G446" s="13">
        <f>SUM(G439:G445)</f>
        <v>0</v>
      </c>
      <c r="H446" s="13">
        <f>SUM(H439:H445)</f>
        <v>0</v>
      </c>
      <c r="I446" s="13">
        <f>SUM(I439:I445)</f>
        <v>1565886.9999999995</v>
      </c>
      <c r="J446" s="24" t="s">
        <v>286</v>
      </c>
      <c r="K446" s="24" t="s">
        <v>286</v>
      </c>
      <c r="L446" s="24" t="s">
        <v>286</v>
      </c>
      <c r="M446" s="8"/>
      <c r="N446" s="270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0"/>
    </row>
    <row r="448" spans="1:14" s="3" customFormat="1" ht="12.2" customHeight="1" x14ac:dyDescent="0.15">
      <c r="A448" s="68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>
        <v>10534</v>
      </c>
      <c r="G448" s="18">
        <v>0</v>
      </c>
      <c r="H448" s="18">
        <v>0</v>
      </c>
      <c r="I448" s="56">
        <f>SUM(F448:H448)</f>
        <v>10534</v>
      </c>
      <c r="J448" s="24" t="s">
        <v>286</v>
      </c>
      <c r="K448" s="24" t="s">
        <v>286</v>
      </c>
      <c r="L448" s="24" t="s">
        <v>286</v>
      </c>
      <c r="M448" s="8"/>
      <c r="N448" s="270"/>
    </row>
    <row r="449" spans="1:23" s="3" customFormat="1" ht="12.2" customHeight="1" x14ac:dyDescent="0.15">
      <c r="A449" s="68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0"/>
    </row>
    <row r="450" spans="1:23" s="3" customFormat="1" ht="12.2" customHeight="1" x14ac:dyDescent="0.15">
      <c r="A450" s="68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>
        <v>8734</v>
      </c>
      <c r="G450" s="18">
        <v>0</v>
      </c>
      <c r="H450" s="18">
        <v>0</v>
      </c>
      <c r="I450" s="56">
        <f>SUM(F450:H450)</f>
        <v>8734</v>
      </c>
      <c r="J450" s="24" t="s">
        <v>286</v>
      </c>
      <c r="K450" s="24" t="s">
        <v>286</v>
      </c>
      <c r="L450" s="24" t="s">
        <v>286</v>
      </c>
      <c r="M450" s="8"/>
      <c r="N450" s="270"/>
    </row>
    <row r="451" spans="1:23" s="3" customFormat="1" ht="12.2" customHeight="1" x14ac:dyDescent="0.15">
      <c r="A451" s="68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0"/>
    </row>
    <row r="452" spans="1:23" s="3" customFormat="1" ht="12.2" customHeight="1" thickBot="1" x14ac:dyDescent="0.2">
      <c r="A452" s="73" t="s">
        <v>421</v>
      </c>
      <c r="B452" s="72">
        <v>18</v>
      </c>
      <c r="C452" s="70">
        <v>13</v>
      </c>
      <c r="D452" s="2" t="s">
        <v>430</v>
      </c>
      <c r="E452" s="70"/>
      <c r="F452" s="71">
        <f>SUM(F448:F451)</f>
        <v>19268</v>
      </c>
      <c r="G452" s="71">
        <f>SUM(G448:G451)</f>
        <v>0</v>
      </c>
      <c r="H452" s="71">
        <f>SUM(H448:H451)</f>
        <v>0</v>
      </c>
      <c r="I452" s="71">
        <f>SUM(I448:I451)</f>
        <v>19268</v>
      </c>
      <c r="J452" s="24" t="s">
        <v>286</v>
      </c>
      <c r="K452" s="24" t="s">
        <v>286</v>
      </c>
      <c r="L452" s="24" t="s">
        <v>286</v>
      </c>
      <c r="M452" s="8"/>
      <c r="N452" s="270"/>
    </row>
    <row r="453" spans="1:23" s="3" customFormat="1" ht="12.2" customHeight="1" thickTop="1" x14ac:dyDescent="0.15">
      <c r="A453" s="89" t="s">
        <v>8</v>
      </c>
      <c r="B453" s="36"/>
      <c r="C453" s="74"/>
      <c r="D453" s="74"/>
      <c r="E453" s="74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0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0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0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7"/>
      <c r="N457" s="225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69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1546619</v>
      </c>
      <c r="G459" s="18">
        <v>0</v>
      </c>
      <c r="H459" s="18">
        <v>0</v>
      </c>
      <c r="I459" s="56">
        <f t="shared" si="34"/>
        <v>1546619</v>
      </c>
      <c r="J459" s="24" t="s">
        <v>286</v>
      </c>
      <c r="K459" s="24" t="s">
        <v>286</v>
      </c>
      <c r="L459" s="24" t="s">
        <v>286</v>
      </c>
      <c r="M459" s="52"/>
      <c r="N459" s="269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0">
        <v>18</v>
      </c>
      <c r="C460" s="51">
        <v>20</v>
      </c>
      <c r="D460" s="48" t="s">
        <v>430</v>
      </c>
      <c r="E460" s="51"/>
      <c r="F460" s="82">
        <f>SUM(F454:F459)</f>
        <v>1546619</v>
      </c>
      <c r="G460" s="82">
        <f>SUM(G454:G459)</f>
        <v>0</v>
      </c>
      <c r="H460" s="82">
        <f>SUM(H454:H459)</f>
        <v>0</v>
      </c>
      <c r="I460" s="82">
        <f>SUM(I454:I459)</f>
        <v>1546619</v>
      </c>
      <c r="J460" s="24" t="s">
        <v>286</v>
      </c>
      <c r="K460" s="24" t="s">
        <v>286</v>
      </c>
      <c r="L460" s="24" t="s">
        <v>286</v>
      </c>
      <c r="N460" s="269"/>
    </row>
    <row r="461" spans="1:23" s="52" customFormat="1" ht="12.2" customHeight="1" thickTop="1" x14ac:dyDescent="0.2">
      <c r="A461" s="90" t="s">
        <v>422</v>
      </c>
      <c r="B461" s="44">
        <v>18</v>
      </c>
      <c r="C461" s="81">
        <v>21</v>
      </c>
      <c r="D461" s="155" t="s">
        <v>430</v>
      </c>
      <c r="E461" s="81"/>
      <c r="F461" s="42">
        <f>F452+F460</f>
        <v>1565887</v>
      </c>
      <c r="G461" s="42">
        <f>G452+G460</f>
        <v>0</v>
      </c>
      <c r="H461" s="42">
        <f>H452+H460</f>
        <v>0</v>
      </c>
      <c r="I461" s="42">
        <f>I452+I460</f>
        <v>1565887</v>
      </c>
      <c r="J461" s="24" t="s">
        <v>286</v>
      </c>
      <c r="K461" s="24" t="s">
        <v>286</v>
      </c>
      <c r="L461" s="24" t="s">
        <v>286</v>
      </c>
      <c r="N461" s="269"/>
    </row>
    <row r="462" spans="1:23" s="52" customFormat="1" ht="12.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69"/>
    </row>
    <row r="463" spans="1:23" s="52" customFormat="1" ht="12.2" customHeight="1" x14ac:dyDescent="0.2">
      <c r="A463" s="91" t="s">
        <v>9</v>
      </c>
      <c r="B463" s="74"/>
      <c r="C463" s="79"/>
      <c r="D463" s="79"/>
      <c r="E463" s="79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69"/>
    </row>
    <row r="464" spans="1:23" s="52" customFormat="1" ht="12.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69"/>
    </row>
    <row r="465" spans="1:14" s="52" customFormat="1" ht="12.2" customHeight="1" x14ac:dyDescent="0.2">
      <c r="A465" s="187" t="s">
        <v>903</v>
      </c>
      <c r="B465" s="104">
        <v>19</v>
      </c>
      <c r="C465" s="110">
        <v>1</v>
      </c>
      <c r="D465" s="2" t="s">
        <v>430</v>
      </c>
      <c r="E465" s="110"/>
      <c r="F465" s="18">
        <f>967814.36+328398.48+435370</f>
        <v>1731582.8399999999</v>
      </c>
      <c r="G465" s="18">
        <f>-80488.57+32736.36</f>
        <v>-47752.210000000006</v>
      </c>
      <c r="H465" s="18">
        <v>0</v>
      </c>
      <c r="I465" s="18">
        <v>0</v>
      </c>
      <c r="J465" s="18">
        <v>1548638</v>
      </c>
      <c r="K465" s="24" t="s">
        <v>286</v>
      </c>
      <c r="L465" s="24" t="s">
        <v>286</v>
      </c>
      <c r="N465" s="269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69"/>
    </row>
    <row r="467" spans="1:14" s="52" customFormat="1" ht="12.2" customHeight="1" x14ac:dyDescent="0.2">
      <c r="A467" s="93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69"/>
    </row>
    <row r="468" spans="1:14" s="52" customFormat="1" ht="12.2" customHeight="1" x14ac:dyDescent="0.2">
      <c r="A468" s="92" t="s">
        <v>608</v>
      </c>
      <c r="B468" s="74">
        <v>19</v>
      </c>
      <c r="C468" s="79">
        <v>2</v>
      </c>
      <c r="D468" s="2" t="s">
        <v>430</v>
      </c>
      <c r="E468" s="79"/>
      <c r="F468" s="18">
        <f>F193</f>
        <v>14392468</v>
      </c>
      <c r="G468" s="18">
        <f>G193</f>
        <v>541196.6</v>
      </c>
      <c r="H468" s="18">
        <f>H193</f>
        <v>1164819.2000000002</v>
      </c>
      <c r="I468" s="18">
        <f>I193</f>
        <v>0</v>
      </c>
      <c r="J468" s="18">
        <f>L408</f>
        <v>106836</v>
      </c>
      <c r="K468" s="24" t="s">
        <v>286</v>
      </c>
      <c r="L468" s="24" t="s">
        <v>286</v>
      </c>
      <c r="N468" s="269"/>
    </row>
    <row r="469" spans="1:14" s="52" customFormat="1" ht="12.2" customHeight="1" x14ac:dyDescent="0.2">
      <c r="A469" s="92" t="s">
        <v>609</v>
      </c>
      <c r="B469" s="74">
        <v>19</v>
      </c>
      <c r="C469" s="79">
        <v>3</v>
      </c>
      <c r="D469" s="2" t="s">
        <v>430</v>
      </c>
      <c r="E469" s="79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286</v>
      </c>
      <c r="L469" s="24" t="s">
        <v>286</v>
      </c>
      <c r="N469" s="269"/>
    </row>
    <row r="470" spans="1:14" s="52" customFormat="1" ht="12.2" customHeight="1" x14ac:dyDescent="0.2">
      <c r="A470" s="91" t="s">
        <v>423</v>
      </c>
      <c r="B470" s="74">
        <v>19</v>
      </c>
      <c r="C470" s="79">
        <v>4</v>
      </c>
      <c r="D470" s="2" t="s">
        <v>430</v>
      </c>
      <c r="E470" s="79"/>
      <c r="F470" s="53">
        <f>SUM(F468:F469)</f>
        <v>14392468</v>
      </c>
      <c r="G470" s="53">
        <f>SUM(G468:G469)</f>
        <v>541196.6</v>
      </c>
      <c r="H470" s="53">
        <f>SUM(H468:H469)</f>
        <v>1164819.2000000002</v>
      </c>
      <c r="I470" s="53">
        <f>SUM(I468:I469)</f>
        <v>0</v>
      </c>
      <c r="J470" s="53">
        <f>SUM(J468:J469)</f>
        <v>106836</v>
      </c>
      <c r="K470" s="24" t="s">
        <v>286</v>
      </c>
      <c r="L470" s="24" t="s">
        <v>286</v>
      </c>
      <c r="N470" s="269"/>
    </row>
    <row r="471" spans="1:14" s="52" customFormat="1" ht="12.2" customHeight="1" x14ac:dyDescent="0.2">
      <c r="A471" s="93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69"/>
    </row>
    <row r="472" spans="1:14" s="52" customFormat="1" ht="12.2" customHeight="1" x14ac:dyDescent="0.2">
      <c r="A472" s="92" t="s">
        <v>610</v>
      </c>
      <c r="B472" s="74">
        <v>19</v>
      </c>
      <c r="C472" s="79">
        <v>5</v>
      </c>
      <c r="D472" s="2" t="s">
        <v>430</v>
      </c>
      <c r="E472" s="79"/>
      <c r="F472" s="18">
        <f>L271</f>
        <v>14269270.35</v>
      </c>
      <c r="G472" s="18">
        <f>L362</f>
        <v>493444.39</v>
      </c>
      <c r="H472" s="18">
        <f>L352</f>
        <v>1164819.2</v>
      </c>
      <c r="I472" s="18">
        <v>0</v>
      </c>
      <c r="J472" s="18">
        <f>L434</f>
        <v>108855</v>
      </c>
      <c r="K472" s="24" t="s">
        <v>286</v>
      </c>
      <c r="L472" s="24" t="s">
        <v>286</v>
      </c>
      <c r="N472" s="269"/>
    </row>
    <row r="473" spans="1:14" s="52" customFormat="1" ht="12.2" customHeight="1" x14ac:dyDescent="0.2">
      <c r="A473" s="92" t="s">
        <v>611</v>
      </c>
      <c r="B473" s="74">
        <v>19</v>
      </c>
      <c r="C473" s="79">
        <v>6</v>
      </c>
      <c r="D473" s="2" t="s">
        <v>430</v>
      </c>
      <c r="E473" s="79"/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24" t="s">
        <v>286</v>
      </c>
      <c r="L473" s="24" t="s">
        <v>286</v>
      </c>
      <c r="N473" s="269"/>
    </row>
    <row r="474" spans="1:14" s="52" customFormat="1" ht="12.2" customHeight="1" x14ac:dyDescent="0.2">
      <c r="A474" s="91" t="s">
        <v>424</v>
      </c>
      <c r="B474" s="74">
        <v>19</v>
      </c>
      <c r="C474" s="79">
        <v>7</v>
      </c>
      <c r="D474" s="2" t="s">
        <v>430</v>
      </c>
      <c r="E474" s="79"/>
      <c r="F474" s="53">
        <f>SUM(F472:F473)</f>
        <v>14269270.35</v>
      </c>
      <c r="G474" s="53">
        <f>SUM(G472:G473)</f>
        <v>493444.39</v>
      </c>
      <c r="H474" s="53">
        <f>SUM(H472:H473)</f>
        <v>1164819.2</v>
      </c>
      <c r="I474" s="53">
        <f>SUM(I472:I473)</f>
        <v>0</v>
      </c>
      <c r="J474" s="53">
        <f>SUM(J472:J473)</f>
        <v>108855</v>
      </c>
      <c r="K474" s="24" t="s">
        <v>286</v>
      </c>
      <c r="L474" s="24" t="s">
        <v>286</v>
      </c>
      <c r="N474" s="269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69"/>
    </row>
    <row r="476" spans="1:14" s="52" customFormat="1" ht="12.2" customHeight="1" x14ac:dyDescent="0.2">
      <c r="A476" s="188" t="s">
        <v>904</v>
      </c>
      <c r="B476" s="74">
        <v>19</v>
      </c>
      <c r="C476" s="114">
        <v>8</v>
      </c>
      <c r="D476" s="2" t="s">
        <v>430</v>
      </c>
      <c r="E476" s="114"/>
      <c r="F476" s="53">
        <f>(F465+F470)- F474</f>
        <v>1854780.4900000002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1546619</v>
      </c>
      <c r="K476" s="24" t="s">
        <v>286</v>
      </c>
      <c r="L476" s="24" t="s">
        <v>286</v>
      </c>
      <c r="N476" s="269"/>
    </row>
    <row r="477" spans="1:14" s="52" customFormat="1" ht="12.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69"/>
    </row>
    <row r="478" spans="1:14" s="52" customFormat="1" ht="12.2" customHeight="1" x14ac:dyDescent="0.2">
      <c r="A478" s="94" t="s">
        <v>655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69"/>
    </row>
    <row r="479" spans="1:14" s="52" customFormat="1" ht="12.2" customHeight="1" x14ac:dyDescent="0.2">
      <c r="A479" s="94" t="s">
        <v>693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69"/>
    </row>
    <row r="480" spans="1:14" s="52" customFormat="1" ht="12.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399</v>
      </c>
      <c r="J480" s="111"/>
      <c r="K480" s="94"/>
      <c r="L480" s="94"/>
      <c r="N480" s="269"/>
    </row>
    <row r="481" spans="1:14" s="52" customFormat="1" ht="12.2" customHeight="1" x14ac:dyDescent="0.2">
      <c r="A481" s="173"/>
      <c r="B481" s="111"/>
      <c r="C481" s="111"/>
      <c r="D481" s="111"/>
      <c r="E481" s="111"/>
      <c r="F481" s="111"/>
      <c r="G481" s="111"/>
      <c r="H481" s="111"/>
      <c r="I481" s="111" t="s">
        <v>648</v>
      </c>
      <c r="J481" s="111"/>
      <c r="K481" s="94"/>
      <c r="L481" s="94"/>
      <c r="N481" s="269"/>
    </row>
    <row r="482" spans="1:14" s="52" customFormat="1" ht="12.2" customHeight="1" x14ac:dyDescent="0.2">
      <c r="A482" s="94" t="s">
        <v>694</v>
      </c>
      <c r="B482" s="111"/>
      <c r="C482" s="111"/>
      <c r="D482" s="111"/>
      <c r="E482" s="111"/>
      <c r="F482" s="111"/>
      <c r="G482" s="111"/>
      <c r="H482" s="111"/>
      <c r="I482" s="111" t="s">
        <v>471</v>
      </c>
      <c r="J482" s="111"/>
      <c r="K482" s="94"/>
      <c r="L482" s="94"/>
      <c r="N482" s="269"/>
    </row>
    <row r="483" spans="1:14" s="52" customFormat="1" ht="12.2" customHeight="1" x14ac:dyDescent="0.2">
      <c r="A483" s="172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69"/>
    </row>
    <row r="484" spans="1:14" s="52" customFormat="1" ht="12.2" customHeight="1" x14ac:dyDescent="0.2">
      <c r="A484" s="172"/>
      <c r="B484" s="111"/>
      <c r="C484" s="111"/>
      <c r="D484" s="111"/>
      <c r="E484" s="111"/>
      <c r="F484" s="111"/>
      <c r="G484" s="111"/>
      <c r="H484" s="111"/>
      <c r="I484" s="111" t="s">
        <v>472</v>
      </c>
      <c r="J484" s="111"/>
      <c r="K484" s="94"/>
      <c r="L484" s="94"/>
      <c r="N484" s="269"/>
    </row>
    <row r="485" spans="1:14" s="52" customFormat="1" ht="12.2" customHeight="1" x14ac:dyDescent="0.2">
      <c r="A485" s="172"/>
      <c r="B485" s="111"/>
      <c r="C485" s="111"/>
      <c r="D485" s="111"/>
      <c r="E485" s="111"/>
      <c r="F485" s="111"/>
      <c r="G485" s="111"/>
      <c r="H485" s="111"/>
      <c r="I485" s="111" t="s">
        <v>473</v>
      </c>
      <c r="J485" s="111"/>
      <c r="K485" s="94"/>
      <c r="L485" s="94"/>
      <c r="N485" s="269"/>
    </row>
    <row r="486" spans="1:14" s="52" customFormat="1" ht="12.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69"/>
    </row>
    <row r="487" spans="1:14" s="52" customFormat="1" ht="12.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69"/>
    </row>
    <row r="488" spans="1:14" s="52" customFormat="1" ht="12.2" customHeight="1" x14ac:dyDescent="0.2">
      <c r="A488" s="145" t="s">
        <v>905</v>
      </c>
      <c r="B488" s="104"/>
      <c r="C488" s="114"/>
      <c r="D488" s="114"/>
      <c r="E488" s="114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5"/>
      <c r="N488" s="269"/>
    </row>
    <row r="489" spans="1:14" s="52" customFormat="1" ht="12.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338</v>
      </c>
      <c r="L489" s="115"/>
      <c r="N489" s="269"/>
    </row>
    <row r="490" spans="1:14" s="52" customFormat="1" ht="12.2" customHeight="1" x14ac:dyDescent="0.2">
      <c r="A490" s="22" t="s">
        <v>612</v>
      </c>
      <c r="B490" s="74">
        <v>20</v>
      </c>
      <c r="C490" s="114">
        <v>1</v>
      </c>
      <c r="D490" s="2" t="s">
        <v>430</v>
      </c>
      <c r="E490" s="114"/>
      <c r="F490" s="152">
        <v>1</v>
      </c>
      <c r="G490" s="152">
        <v>2</v>
      </c>
      <c r="H490" s="152"/>
      <c r="I490" s="152"/>
      <c r="J490" s="152"/>
      <c r="K490" s="24" t="s">
        <v>286</v>
      </c>
      <c r="L490" s="24" t="s">
        <v>286</v>
      </c>
      <c r="N490" s="269"/>
    </row>
    <row r="491" spans="1:14" s="52" customFormat="1" ht="12.2" customHeight="1" x14ac:dyDescent="0.2">
      <c r="A491" s="22" t="s">
        <v>613</v>
      </c>
      <c r="B491" s="74">
        <v>20</v>
      </c>
      <c r="C491" s="114">
        <v>2</v>
      </c>
      <c r="D491" s="2" t="s">
        <v>430</v>
      </c>
      <c r="E491" s="114"/>
      <c r="F491" s="153" t="s">
        <v>912</v>
      </c>
      <c r="G491" s="153" t="s">
        <v>913</v>
      </c>
      <c r="H491" s="152"/>
      <c r="I491" s="152"/>
      <c r="J491" s="152"/>
      <c r="K491" s="24" t="s">
        <v>286</v>
      </c>
      <c r="L491" s="24" t="s">
        <v>286</v>
      </c>
      <c r="N491" s="269"/>
    </row>
    <row r="492" spans="1:14" s="52" customFormat="1" ht="12.2" customHeight="1" x14ac:dyDescent="0.2">
      <c r="A492" s="22" t="s">
        <v>614</v>
      </c>
      <c r="B492" s="74">
        <v>20</v>
      </c>
      <c r="C492" s="114">
        <v>3</v>
      </c>
      <c r="D492" s="2" t="s">
        <v>430</v>
      </c>
      <c r="E492" s="114"/>
      <c r="F492" s="153" t="s">
        <v>914</v>
      </c>
      <c r="G492" s="153" t="s">
        <v>915</v>
      </c>
      <c r="H492" s="152"/>
      <c r="I492" s="152"/>
      <c r="J492" s="152"/>
      <c r="K492" s="24" t="s">
        <v>286</v>
      </c>
      <c r="L492" s="24" t="s">
        <v>286</v>
      </c>
      <c r="N492" s="269"/>
    </row>
    <row r="493" spans="1:14" s="52" customFormat="1" ht="12.2" customHeight="1" x14ac:dyDescent="0.2">
      <c r="A493" s="22" t="s">
        <v>615</v>
      </c>
      <c r="B493" s="74">
        <v>20</v>
      </c>
      <c r="C493" s="114">
        <v>4</v>
      </c>
      <c r="D493" s="2" t="s">
        <v>430</v>
      </c>
      <c r="E493" s="114"/>
      <c r="F493" s="18">
        <v>75349</v>
      </c>
      <c r="G493" s="18">
        <v>155000</v>
      </c>
      <c r="H493" s="18"/>
      <c r="I493" s="18"/>
      <c r="J493" s="18"/>
      <c r="K493" s="24" t="s">
        <v>286</v>
      </c>
      <c r="L493" s="24" t="s">
        <v>286</v>
      </c>
      <c r="N493" s="269"/>
    </row>
    <row r="494" spans="1:14" s="52" customFormat="1" ht="12.2" customHeight="1" x14ac:dyDescent="0.2">
      <c r="A494" s="22" t="s">
        <v>616</v>
      </c>
      <c r="B494" s="74">
        <v>20</v>
      </c>
      <c r="C494" s="114">
        <v>5</v>
      </c>
      <c r="D494" s="2" t="s">
        <v>430</v>
      </c>
      <c r="E494" s="114"/>
      <c r="F494" s="18">
        <v>2.2719999999999998</v>
      </c>
      <c r="G494" s="18">
        <v>4.4151999999999996</v>
      </c>
      <c r="H494" s="18"/>
      <c r="I494" s="18"/>
      <c r="J494" s="18"/>
      <c r="K494" s="24" t="s">
        <v>286</v>
      </c>
      <c r="L494" s="24" t="s">
        <v>286</v>
      </c>
      <c r="N494" s="269"/>
    </row>
    <row r="495" spans="1:14" s="52" customFormat="1" ht="12.2" customHeight="1" x14ac:dyDescent="0.2">
      <c r="A495" s="22" t="s">
        <v>617</v>
      </c>
      <c r="B495" s="74">
        <v>20</v>
      </c>
      <c r="C495" s="114">
        <v>6</v>
      </c>
      <c r="D495" s="2" t="s">
        <v>430</v>
      </c>
      <c r="E495" s="114"/>
      <c r="F495" s="18">
        <v>57141.93</v>
      </c>
      <c r="G495" s="18">
        <v>155000</v>
      </c>
      <c r="H495" s="18"/>
      <c r="I495" s="18"/>
      <c r="J495" s="18"/>
      <c r="K495" s="53">
        <f>SUM(F495:J495)</f>
        <v>212141.93</v>
      </c>
      <c r="L495" s="24" t="s">
        <v>286</v>
      </c>
      <c r="N495" s="269"/>
    </row>
    <row r="496" spans="1:14" s="52" customFormat="1" ht="12.2" customHeight="1" x14ac:dyDescent="0.2">
      <c r="A496" s="22" t="s">
        <v>618</v>
      </c>
      <c r="B496" s="74">
        <v>20</v>
      </c>
      <c r="C496" s="114">
        <v>7</v>
      </c>
      <c r="D496" s="2" t="s">
        <v>430</v>
      </c>
      <c r="E496" s="114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69"/>
    </row>
    <row r="497" spans="1:14" s="52" customFormat="1" ht="12.2" customHeight="1" x14ac:dyDescent="0.2">
      <c r="A497" s="22" t="s">
        <v>619</v>
      </c>
      <c r="B497" s="74">
        <v>20</v>
      </c>
      <c r="C497" s="114">
        <v>8</v>
      </c>
      <c r="D497" s="2" t="s">
        <v>430</v>
      </c>
      <c r="E497" s="114"/>
      <c r="F497" s="18">
        <v>0</v>
      </c>
      <c r="G497" s="18">
        <v>0</v>
      </c>
      <c r="H497" s="18"/>
      <c r="I497" s="18"/>
      <c r="J497" s="18"/>
      <c r="K497" s="53">
        <f t="shared" si="35"/>
        <v>0</v>
      </c>
      <c r="L497" s="24" t="s">
        <v>286</v>
      </c>
      <c r="N497" s="269"/>
    </row>
    <row r="498" spans="1:14" s="52" customFormat="1" ht="12.2" customHeight="1" x14ac:dyDescent="0.2">
      <c r="A498" s="198" t="s">
        <v>620</v>
      </c>
      <c r="B498" s="199">
        <v>20</v>
      </c>
      <c r="C498" s="200">
        <v>9</v>
      </c>
      <c r="D498" s="201" t="s">
        <v>430</v>
      </c>
      <c r="E498" s="200"/>
      <c r="F498" s="202">
        <f>57141.93-18620.74</f>
        <v>38521.19</v>
      </c>
      <c r="G498" s="202">
        <v>155000</v>
      </c>
      <c r="H498" s="202">
        <v>0</v>
      </c>
      <c r="I498" s="202">
        <v>0</v>
      </c>
      <c r="J498" s="202">
        <v>0</v>
      </c>
      <c r="K498" s="203">
        <f t="shared" si="35"/>
        <v>193521.19</v>
      </c>
      <c r="L498" s="204" t="s">
        <v>286</v>
      </c>
      <c r="N498" s="269"/>
    </row>
    <row r="499" spans="1:14" s="52" customFormat="1" ht="12.2" customHeight="1" thickBot="1" x14ac:dyDescent="0.25">
      <c r="A499" s="22" t="s">
        <v>621</v>
      </c>
      <c r="B499" s="74">
        <v>20</v>
      </c>
      <c r="C499" s="114">
        <v>10</v>
      </c>
      <c r="D499" s="2" t="s">
        <v>430</v>
      </c>
      <c r="E499" s="114"/>
      <c r="F499" s="18">
        <f>2615.99-1298.26</f>
        <v>1317.7299999999998</v>
      </c>
      <c r="G499" s="18">
        <v>10185.040000000001</v>
      </c>
      <c r="H499" s="18">
        <v>0</v>
      </c>
      <c r="I499" s="18">
        <v>0</v>
      </c>
      <c r="J499" s="18">
        <v>0</v>
      </c>
      <c r="K499" s="53">
        <f t="shared" si="35"/>
        <v>11502.77</v>
      </c>
      <c r="L499" s="24" t="s">
        <v>286</v>
      </c>
      <c r="N499" s="269"/>
    </row>
    <row r="500" spans="1:14" s="52" customFormat="1" ht="12.2" customHeight="1" thickTop="1" x14ac:dyDescent="0.2">
      <c r="A500" s="138" t="s">
        <v>622</v>
      </c>
      <c r="B500" s="44">
        <v>20</v>
      </c>
      <c r="C500" s="193">
        <v>11</v>
      </c>
      <c r="D500" s="39" t="s">
        <v>430</v>
      </c>
      <c r="E500" s="193"/>
      <c r="F500" s="42">
        <f>SUM(F498:F499)</f>
        <v>39838.920000000006</v>
      </c>
      <c r="G500" s="42">
        <f>SUM(G498:G499)</f>
        <v>165185.04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205023.96000000002</v>
      </c>
      <c r="L500" s="45" t="s">
        <v>286</v>
      </c>
      <c r="N500" s="269"/>
    </row>
    <row r="501" spans="1:14" s="52" customFormat="1" ht="12.2" customHeight="1" x14ac:dyDescent="0.2">
      <c r="A501" s="198" t="s">
        <v>649</v>
      </c>
      <c r="B501" s="199">
        <v>20</v>
      </c>
      <c r="C501" s="200">
        <v>12</v>
      </c>
      <c r="D501" s="201" t="s">
        <v>430</v>
      </c>
      <c r="E501" s="200"/>
      <c r="F501" s="202">
        <v>19043.8</v>
      </c>
      <c r="G501" s="202">
        <v>41296.26</v>
      </c>
      <c r="H501" s="202">
        <v>0</v>
      </c>
      <c r="I501" s="202">
        <v>0</v>
      </c>
      <c r="J501" s="202">
        <v>0</v>
      </c>
      <c r="K501" s="203">
        <f t="shared" si="35"/>
        <v>60340.06</v>
      </c>
      <c r="L501" s="204" t="s">
        <v>286</v>
      </c>
      <c r="N501" s="269"/>
    </row>
    <row r="502" spans="1:14" s="52" customFormat="1" ht="12.2" customHeight="1" thickBot="1" x14ac:dyDescent="0.25">
      <c r="A502" s="22" t="s">
        <v>623</v>
      </c>
      <c r="B502" s="74">
        <v>20</v>
      </c>
      <c r="C502" s="114">
        <v>13</v>
      </c>
      <c r="D502" s="2" t="s">
        <v>430</v>
      </c>
      <c r="E502" s="114"/>
      <c r="F502" s="18">
        <v>875.2</v>
      </c>
      <c r="G502" s="18">
        <v>0</v>
      </c>
      <c r="H502" s="18">
        <v>0</v>
      </c>
      <c r="I502" s="18">
        <v>0</v>
      </c>
      <c r="J502" s="18">
        <v>0</v>
      </c>
      <c r="K502" s="53">
        <f t="shared" si="35"/>
        <v>875.2</v>
      </c>
      <c r="L502" s="24" t="s">
        <v>286</v>
      </c>
      <c r="N502" s="269"/>
    </row>
    <row r="503" spans="1:14" s="52" customFormat="1" ht="12.2" customHeight="1" thickTop="1" x14ac:dyDescent="0.2">
      <c r="A503" s="138" t="s">
        <v>624</v>
      </c>
      <c r="B503" s="44">
        <v>20</v>
      </c>
      <c r="C503" s="193">
        <v>14</v>
      </c>
      <c r="D503" s="39" t="s">
        <v>430</v>
      </c>
      <c r="E503" s="193"/>
      <c r="F503" s="42">
        <f>SUM(F501:F502)</f>
        <v>19919</v>
      </c>
      <c r="G503" s="42">
        <f>SUM(G501:G502)</f>
        <v>41296.26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61215.26</v>
      </c>
      <c r="L503" s="45" t="s">
        <v>286</v>
      </c>
      <c r="N503" s="269"/>
    </row>
    <row r="504" spans="1:14" s="52" customFormat="1" ht="12.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69"/>
    </row>
    <row r="505" spans="1:14" s="52" customFormat="1" ht="12.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69"/>
    </row>
    <row r="506" spans="1:14" s="52" customFormat="1" ht="12.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286</v>
      </c>
      <c r="K506" s="24" t="s">
        <v>286</v>
      </c>
      <c r="L506" s="24" t="s">
        <v>286</v>
      </c>
      <c r="N506" s="269"/>
    </row>
    <row r="507" spans="1:14" s="52" customFormat="1" ht="12.2" customHeight="1" x14ac:dyDescent="0.2">
      <c r="A507" s="95" t="s">
        <v>40</v>
      </c>
      <c r="B507" s="104">
        <v>20</v>
      </c>
      <c r="C507" s="114">
        <v>15</v>
      </c>
      <c r="D507" s="2" t="s">
        <v>430</v>
      </c>
      <c r="E507" s="114"/>
      <c r="F507" s="143"/>
      <c r="G507" s="143"/>
      <c r="H507" s="143"/>
      <c r="I507" s="143"/>
      <c r="J507" s="24" t="s">
        <v>286</v>
      </c>
      <c r="K507" s="24" t="s">
        <v>286</v>
      </c>
      <c r="L507" s="24" t="s">
        <v>286</v>
      </c>
      <c r="N507" s="269"/>
    </row>
    <row r="508" spans="1:14" s="52" customFormat="1" ht="12.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9"/>
    </row>
    <row r="509" spans="1:14" s="52" customFormat="1" ht="12.2" customHeight="1" x14ac:dyDescent="0.2">
      <c r="A509" s="145" t="s">
        <v>906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69"/>
    </row>
    <row r="510" spans="1:14" s="52" customFormat="1" ht="12.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69"/>
    </row>
    <row r="511" spans="1:14" s="52" customFormat="1" ht="12.2" customHeight="1" x14ac:dyDescent="0.2">
      <c r="A511" s="22" t="s">
        <v>625</v>
      </c>
      <c r="B511" s="74">
        <v>20</v>
      </c>
      <c r="C511" s="114">
        <v>16</v>
      </c>
      <c r="D511" s="2" t="s">
        <v>430</v>
      </c>
      <c r="E511" s="114">
        <v>210</v>
      </c>
      <c r="F511" s="18">
        <v>0</v>
      </c>
      <c r="G511" s="24" t="s">
        <v>286</v>
      </c>
      <c r="H511" s="18">
        <v>0</v>
      </c>
      <c r="I511" s="24" t="s">
        <v>286</v>
      </c>
      <c r="J511" s="24" t="s">
        <v>286</v>
      </c>
      <c r="K511" s="24" t="s">
        <v>286</v>
      </c>
      <c r="L511" s="24" t="s">
        <v>286</v>
      </c>
      <c r="N511" s="269"/>
    </row>
    <row r="512" spans="1:14" s="52" customFormat="1" ht="12.2" customHeight="1" x14ac:dyDescent="0.2">
      <c r="A512" s="22" t="s">
        <v>626</v>
      </c>
      <c r="B512" s="74">
        <v>20</v>
      </c>
      <c r="C512" s="114">
        <v>17</v>
      </c>
      <c r="D512" s="2" t="s">
        <v>430</v>
      </c>
      <c r="E512" s="114">
        <v>220</v>
      </c>
      <c r="F512" s="18">
        <v>0</v>
      </c>
      <c r="G512" s="24" t="s">
        <v>286</v>
      </c>
      <c r="H512" s="18">
        <v>0</v>
      </c>
      <c r="I512" s="24" t="s">
        <v>286</v>
      </c>
      <c r="J512" s="24" t="s">
        <v>286</v>
      </c>
      <c r="K512" s="24" t="s">
        <v>286</v>
      </c>
      <c r="L512" s="24" t="s">
        <v>286</v>
      </c>
      <c r="N512" s="269"/>
    </row>
    <row r="513" spans="1:14" s="52" customFormat="1" ht="12.2" customHeight="1" x14ac:dyDescent="0.2">
      <c r="A513" s="22" t="s">
        <v>627</v>
      </c>
      <c r="B513" s="74">
        <v>20</v>
      </c>
      <c r="C513" s="114">
        <v>18</v>
      </c>
      <c r="D513" s="2" t="s">
        <v>430</v>
      </c>
      <c r="E513" s="114">
        <v>230</v>
      </c>
      <c r="F513" s="18">
        <v>0</v>
      </c>
      <c r="G513" s="24" t="s">
        <v>286</v>
      </c>
      <c r="H513" s="18">
        <v>0</v>
      </c>
      <c r="I513" s="24" t="s">
        <v>286</v>
      </c>
      <c r="J513" s="24" t="s">
        <v>286</v>
      </c>
      <c r="K513" s="24" t="s">
        <v>286</v>
      </c>
      <c r="L513" s="24" t="s">
        <v>286</v>
      </c>
      <c r="N513" s="269"/>
    </row>
    <row r="514" spans="1:14" s="52" customFormat="1" ht="12.2" customHeight="1" x14ac:dyDescent="0.2">
      <c r="A514" s="22" t="s">
        <v>628</v>
      </c>
      <c r="B514" s="74">
        <v>20</v>
      </c>
      <c r="C514" s="114">
        <v>19</v>
      </c>
      <c r="D514" s="2" t="s">
        <v>430</v>
      </c>
      <c r="E514" s="114">
        <v>240</v>
      </c>
      <c r="F514" s="18">
        <v>0</v>
      </c>
      <c r="G514" s="24" t="s">
        <v>286</v>
      </c>
      <c r="H514" s="18">
        <v>0</v>
      </c>
      <c r="I514" s="24" t="s">
        <v>286</v>
      </c>
      <c r="J514" s="24" t="s">
        <v>286</v>
      </c>
      <c r="K514" s="24" t="s">
        <v>286</v>
      </c>
      <c r="L514" s="24" t="s">
        <v>286</v>
      </c>
      <c r="N514" s="269"/>
    </row>
    <row r="515" spans="1:14" s="52" customFormat="1" ht="12.2" customHeight="1" x14ac:dyDescent="0.2">
      <c r="A515" s="22" t="s">
        <v>629</v>
      </c>
      <c r="B515" s="74">
        <v>20</v>
      </c>
      <c r="C515" s="114">
        <v>20</v>
      </c>
      <c r="D515" s="2" t="s">
        <v>430</v>
      </c>
      <c r="E515" s="114">
        <v>250</v>
      </c>
      <c r="F515" s="18">
        <v>0</v>
      </c>
      <c r="G515" s="24" t="s">
        <v>286</v>
      </c>
      <c r="H515" s="18">
        <v>0</v>
      </c>
      <c r="I515" s="24" t="s">
        <v>286</v>
      </c>
      <c r="J515" s="24" t="s">
        <v>286</v>
      </c>
      <c r="K515" s="24" t="s">
        <v>286</v>
      </c>
      <c r="L515" s="24" t="s">
        <v>286</v>
      </c>
      <c r="N515" s="269"/>
    </row>
    <row r="516" spans="1:14" s="52" customFormat="1" ht="12.2" customHeight="1" thickBot="1" x14ac:dyDescent="0.25">
      <c r="A516" s="22" t="s">
        <v>630</v>
      </c>
      <c r="B516" s="74">
        <v>20</v>
      </c>
      <c r="C516" s="114">
        <v>21</v>
      </c>
      <c r="D516" s="2" t="s">
        <v>430</v>
      </c>
      <c r="E516" s="114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69"/>
    </row>
    <row r="517" spans="1:14" s="52" customFormat="1" ht="12.2" customHeight="1" thickTop="1" x14ac:dyDescent="0.2">
      <c r="A517" s="95" t="s">
        <v>425</v>
      </c>
      <c r="B517" s="74">
        <v>20</v>
      </c>
      <c r="C517" s="114">
        <v>22</v>
      </c>
      <c r="D517" s="2" t="s">
        <v>430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69"/>
    </row>
    <row r="518" spans="1:14" s="52" customFormat="1" ht="12.2" customHeight="1" x14ac:dyDescent="0.2">
      <c r="A518" s="95" t="s">
        <v>696</v>
      </c>
      <c r="B518" s="104"/>
      <c r="C518" s="114"/>
      <c r="D518" s="114"/>
      <c r="E518" s="114"/>
      <c r="F518" s="175" t="s">
        <v>687</v>
      </c>
      <c r="G518" s="175" t="s">
        <v>688</v>
      </c>
      <c r="H518" s="175" t="s">
        <v>689</v>
      </c>
      <c r="I518" s="175" t="s">
        <v>690</v>
      </c>
      <c r="J518" s="175" t="s">
        <v>691</v>
      </c>
      <c r="K518" s="175" t="s">
        <v>692</v>
      </c>
      <c r="L518" s="105"/>
      <c r="N518" s="269"/>
    </row>
    <row r="519" spans="1:14" s="52" customFormat="1" ht="12.2" customHeight="1" x14ac:dyDescent="0.2">
      <c r="A519" s="176" t="s">
        <v>695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69"/>
    </row>
    <row r="520" spans="1:14" s="52" customFormat="1" ht="12.2" customHeight="1" x14ac:dyDescent="0.2">
      <c r="A520" s="95" t="s">
        <v>60</v>
      </c>
      <c r="B520" s="104"/>
      <c r="C520" s="114"/>
      <c r="D520" s="114"/>
      <c r="E520" s="114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69"/>
    </row>
    <row r="521" spans="1:14" s="52" customFormat="1" ht="12.2" customHeight="1" x14ac:dyDescent="0.2">
      <c r="A521" s="22" t="s">
        <v>631</v>
      </c>
      <c r="B521" s="104">
        <v>21</v>
      </c>
      <c r="C521" s="114">
        <v>1</v>
      </c>
      <c r="D521" s="2" t="s">
        <v>430</v>
      </c>
      <c r="E521" s="114"/>
      <c r="F521" s="18">
        <v>1243711.1399999999</v>
      </c>
      <c r="G521" s="18">
        <v>375943.25</v>
      </c>
      <c r="H521" s="18">
        <v>263145.63</v>
      </c>
      <c r="I521" s="18">
        <v>6951.72</v>
      </c>
      <c r="J521" s="18">
        <v>34464.090399999994</v>
      </c>
      <c r="K521" s="18">
        <v>5085</v>
      </c>
      <c r="L521" s="87">
        <f>SUM(F521:K521)</f>
        <v>1929300.8304000001</v>
      </c>
      <c r="N521" s="269"/>
    </row>
    <row r="522" spans="1:14" s="52" customFormat="1" ht="12.2" customHeight="1" x14ac:dyDescent="0.2">
      <c r="A522" s="22" t="s">
        <v>632</v>
      </c>
      <c r="B522" s="104">
        <v>21</v>
      </c>
      <c r="C522" s="114">
        <v>2</v>
      </c>
      <c r="D522" s="2" t="s">
        <v>430</v>
      </c>
      <c r="E522" s="114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7">
        <f>SUM(F522:K522)</f>
        <v>0</v>
      </c>
      <c r="N522" s="269"/>
    </row>
    <row r="523" spans="1:14" s="52" customFormat="1" ht="12.2" customHeight="1" thickBot="1" x14ac:dyDescent="0.25">
      <c r="A523" s="22" t="s">
        <v>633</v>
      </c>
      <c r="B523" s="104">
        <v>21</v>
      </c>
      <c r="C523" s="114">
        <v>3</v>
      </c>
      <c r="D523" s="2" t="s">
        <v>430</v>
      </c>
      <c r="E523" s="114"/>
      <c r="F523" s="18">
        <v>366062.9</v>
      </c>
      <c r="G523" s="18">
        <v>118998.01</v>
      </c>
      <c r="H523" s="18">
        <v>674830.81</v>
      </c>
      <c r="I523" s="18">
        <v>670.42</v>
      </c>
      <c r="J523" s="18">
        <v>10096.729600000001</v>
      </c>
      <c r="K523" s="18">
        <v>2103</v>
      </c>
      <c r="L523" s="87">
        <f>SUM(F523:K523)</f>
        <v>1172761.8696000001</v>
      </c>
      <c r="N523" s="269"/>
    </row>
    <row r="524" spans="1:14" s="52" customFormat="1" ht="12.2" customHeight="1" thickTop="1" x14ac:dyDescent="0.2">
      <c r="A524" s="138" t="s">
        <v>63</v>
      </c>
      <c r="B524" s="106">
        <v>21</v>
      </c>
      <c r="C524" s="193">
        <v>4</v>
      </c>
      <c r="D524" s="194" t="s">
        <v>430</v>
      </c>
      <c r="E524" s="193"/>
      <c r="F524" s="107">
        <f>SUM(F521:F523)</f>
        <v>1609774.04</v>
      </c>
      <c r="G524" s="107">
        <f t="shared" ref="G524:L524" si="36">SUM(G521:G523)</f>
        <v>494941.26</v>
      </c>
      <c r="H524" s="107">
        <f t="shared" si="36"/>
        <v>937976.44000000006</v>
      </c>
      <c r="I524" s="107">
        <f t="shared" si="36"/>
        <v>7622.14</v>
      </c>
      <c r="J524" s="107">
        <f t="shared" si="36"/>
        <v>44560.819999999992</v>
      </c>
      <c r="K524" s="107">
        <f t="shared" si="36"/>
        <v>7188</v>
      </c>
      <c r="L524" s="88">
        <f t="shared" si="36"/>
        <v>3102062.7</v>
      </c>
      <c r="N524" s="269"/>
    </row>
    <row r="525" spans="1:14" s="52" customFormat="1" ht="12.2" customHeight="1" x14ac:dyDescent="0.2">
      <c r="A525" s="95" t="s">
        <v>64</v>
      </c>
      <c r="B525" s="104"/>
      <c r="C525" s="114"/>
      <c r="D525" s="114"/>
      <c r="E525" s="114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69"/>
    </row>
    <row r="526" spans="1:14" s="3" customFormat="1" ht="12.2" customHeight="1" x14ac:dyDescent="0.15">
      <c r="A526" s="22" t="s">
        <v>631</v>
      </c>
      <c r="B526" s="104">
        <v>21</v>
      </c>
      <c r="C526" s="114">
        <v>5</v>
      </c>
      <c r="D526" s="2" t="s">
        <v>430</v>
      </c>
      <c r="E526" s="114"/>
      <c r="F526" s="18">
        <v>163352.97518857144</v>
      </c>
      <c r="G526" s="18">
        <v>66489.648011428566</v>
      </c>
      <c r="H526" s="18">
        <v>53865.712491428567</v>
      </c>
      <c r="I526" s="18">
        <v>911.05481142857138</v>
      </c>
      <c r="J526" s="18">
        <v>0</v>
      </c>
      <c r="K526" s="18">
        <v>256.79657142857144</v>
      </c>
      <c r="L526" s="87">
        <f>SUM(F526:K526)</f>
        <v>284876.18707428576</v>
      </c>
      <c r="M526" s="8"/>
      <c r="N526" s="270"/>
    </row>
    <row r="527" spans="1:14" s="3" customFormat="1" ht="12.2" customHeight="1" x14ac:dyDescent="0.15">
      <c r="A527" s="22" t="s">
        <v>632</v>
      </c>
      <c r="B527" s="104">
        <v>21</v>
      </c>
      <c r="C527" s="114">
        <v>6</v>
      </c>
      <c r="D527" s="2" t="s">
        <v>430</v>
      </c>
      <c r="E527" s="114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7">
        <f>SUM(F527:K527)</f>
        <v>0</v>
      </c>
      <c r="M527" s="8"/>
      <c r="N527" s="270"/>
    </row>
    <row r="528" spans="1:14" s="3" customFormat="1" ht="12.2" customHeight="1" thickBot="1" x14ac:dyDescent="0.2">
      <c r="A528" s="22" t="s">
        <v>633</v>
      </c>
      <c r="B528" s="117">
        <v>21</v>
      </c>
      <c r="C528" s="117">
        <v>7</v>
      </c>
      <c r="D528" s="2" t="s">
        <v>430</v>
      </c>
      <c r="E528" s="117"/>
      <c r="F528" s="18">
        <v>67557.934811428568</v>
      </c>
      <c r="G528" s="18">
        <v>27498.141988571431</v>
      </c>
      <c r="H528" s="18">
        <v>22277.257508571427</v>
      </c>
      <c r="I528" s="18">
        <v>376.78518857142853</v>
      </c>
      <c r="J528" s="18">
        <v>0</v>
      </c>
      <c r="K528" s="18">
        <v>106.20342857142857</v>
      </c>
      <c r="L528" s="87">
        <f>SUM(F528:K528)</f>
        <v>117816.32292571428</v>
      </c>
      <c r="M528" s="8"/>
      <c r="N528" s="270"/>
    </row>
    <row r="529" spans="1:14" s="3" customFormat="1" ht="12.2" customHeight="1" thickTop="1" x14ac:dyDescent="0.15">
      <c r="A529" s="138" t="s">
        <v>65</v>
      </c>
      <c r="B529" s="106">
        <v>21</v>
      </c>
      <c r="C529" s="106">
        <v>8</v>
      </c>
      <c r="D529" s="156" t="s">
        <v>430</v>
      </c>
      <c r="E529" s="106"/>
      <c r="F529" s="88">
        <f>SUM(F526:F528)</f>
        <v>230910.91</v>
      </c>
      <c r="G529" s="88">
        <f t="shared" ref="G529:L529" si="37">SUM(G526:G528)</f>
        <v>93987.79</v>
      </c>
      <c r="H529" s="88">
        <f t="shared" si="37"/>
        <v>76142.97</v>
      </c>
      <c r="I529" s="88">
        <f t="shared" si="37"/>
        <v>1287.8399999999999</v>
      </c>
      <c r="J529" s="88">
        <f t="shared" si="37"/>
        <v>0</v>
      </c>
      <c r="K529" s="88">
        <f t="shared" si="37"/>
        <v>363</v>
      </c>
      <c r="L529" s="88">
        <f t="shared" si="37"/>
        <v>402692.51</v>
      </c>
      <c r="M529" s="8"/>
      <c r="N529" s="270"/>
    </row>
    <row r="530" spans="1:14" s="3" customFormat="1" ht="12.2" customHeight="1" x14ac:dyDescent="0.15">
      <c r="A530" s="96" t="s">
        <v>66</v>
      </c>
      <c r="B530" s="104"/>
      <c r="C530" s="104"/>
      <c r="D530" s="104"/>
      <c r="E530" s="104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0"/>
    </row>
    <row r="531" spans="1:14" s="3" customFormat="1" ht="12.2" customHeight="1" x14ac:dyDescent="0.15">
      <c r="A531" s="22" t="s">
        <v>631</v>
      </c>
      <c r="B531" s="104">
        <v>21</v>
      </c>
      <c r="C531" s="104">
        <v>9</v>
      </c>
      <c r="D531" s="2" t="s">
        <v>430</v>
      </c>
      <c r="E531" s="104"/>
      <c r="F531" s="18">
        <v>102119.42757028571</v>
      </c>
      <c r="G531" s="18">
        <v>25270.249126857143</v>
      </c>
      <c r="H531" s="18">
        <v>13.5</v>
      </c>
      <c r="I531" s="18">
        <v>52.315000000000012</v>
      </c>
      <c r="J531" s="18">
        <v>0</v>
      </c>
      <c r="K531" s="18">
        <v>0</v>
      </c>
      <c r="L531" s="87">
        <f>SUM(F531:K531)</f>
        <v>127455.49169714286</v>
      </c>
      <c r="M531" s="8"/>
      <c r="N531" s="270"/>
    </row>
    <row r="532" spans="1:14" s="3" customFormat="1" ht="12.2" customHeight="1" x14ac:dyDescent="0.15">
      <c r="A532" s="22" t="s">
        <v>632</v>
      </c>
      <c r="B532" s="104">
        <v>21</v>
      </c>
      <c r="C532" s="104">
        <v>10</v>
      </c>
      <c r="D532" s="2" t="s">
        <v>430</v>
      </c>
      <c r="E532" s="104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7">
        <f>SUM(F532:K532)</f>
        <v>0</v>
      </c>
      <c r="M532" s="8"/>
      <c r="N532" s="270"/>
    </row>
    <row r="533" spans="1:14" s="3" customFormat="1" ht="12.2" customHeight="1" thickBot="1" x14ac:dyDescent="0.2">
      <c r="A533" s="22" t="s">
        <v>633</v>
      </c>
      <c r="B533" s="104">
        <v>21</v>
      </c>
      <c r="C533" s="104">
        <v>11</v>
      </c>
      <c r="D533" s="2" t="s">
        <v>430</v>
      </c>
      <c r="E533" s="104"/>
      <c r="F533" s="18">
        <v>42178.23228457143</v>
      </c>
      <c r="G533" s="18">
        <v>9716.7348731428574</v>
      </c>
      <c r="H533" s="18">
        <v>6</v>
      </c>
      <c r="I533" s="18">
        <v>67.400999999999996</v>
      </c>
      <c r="J533" s="18">
        <v>0</v>
      </c>
      <c r="K533" s="18">
        <v>0</v>
      </c>
      <c r="L533" s="87">
        <f>SUM(F533:K533)</f>
        <v>51968.368157714285</v>
      </c>
      <c r="M533" s="8"/>
      <c r="N533" s="270"/>
    </row>
    <row r="534" spans="1:14" s="3" customFormat="1" ht="12.2" customHeight="1" thickTop="1" x14ac:dyDescent="0.15">
      <c r="A534" s="138" t="s">
        <v>67</v>
      </c>
      <c r="B534" s="106">
        <v>21</v>
      </c>
      <c r="C534" s="106">
        <v>12</v>
      </c>
      <c r="D534" s="156" t="s">
        <v>430</v>
      </c>
      <c r="E534" s="106"/>
      <c r="F534" s="88">
        <f>SUM(F531:F533)</f>
        <v>144297.65985485713</v>
      </c>
      <c r="G534" s="88">
        <f t="shared" ref="G534:L534" si="38">SUM(G531:G533)</f>
        <v>34986.983999999997</v>
      </c>
      <c r="H534" s="88">
        <f t="shared" si="38"/>
        <v>19.5</v>
      </c>
      <c r="I534" s="88">
        <f t="shared" si="38"/>
        <v>119.71600000000001</v>
      </c>
      <c r="J534" s="88">
        <f t="shared" si="38"/>
        <v>0</v>
      </c>
      <c r="K534" s="88">
        <f t="shared" si="38"/>
        <v>0</v>
      </c>
      <c r="L534" s="88">
        <f t="shared" si="38"/>
        <v>179423.85985485715</v>
      </c>
      <c r="M534" s="8"/>
      <c r="N534" s="270"/>
    </row>
    <row r="535" spans="1:14" s="3" customFormat="1" ht="12.2" customHeight="1" x14ac:dyDescent="0.15">
      <c r="A535" s="96" t="s">
        <v>68</v>
      </c>
      <c r="B535" s="104"/>
      <c r="C535" s="104"/>
      <c r="D535" s="104"/>
      <c r="E535" s="104"/>
      <c r="F535" s="192" t="s">
        <v>286</v>
      </c>
      <c r="G535" s="192" t="s">
        <v>286</v>
      </c>
      <c r="H535" s="192" t="s">
        <v>286</v>
      </c>
      <c r="I535" s="192" t="s">
        <v>286</v>
      </c>
      <c r="J535" s="192" t="s">
        <v>286</v>
      </c>
      <c r="K535" s="192" t="s">
        <v>286</v>
      </c>
      <c r="L535" s="192" t="s">
        <v>286</v>
      </c>
      <c r="M535" s="8"/>
      <c r="N535" s="270"/>
    </row>
    <row r="536" spans="1:14" s="3" customFormat="1" ht="12.2" customHeight="1" x14ac:dyDescent="0.15">
      <c r="A536" s="22" t="s">
        <v>631</v>
      </c>
      <c r="B536" s="104">
        <v>21</v>
      </c>
      <c r="C536" s="104">
        <v>13</v>
      </c>
      <c r="D536" s="2" t="s">
        <v>430</v>
      </c>
      <c r="E536" s="104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7">
        <f>SUM(F536:K536)</f>
        <v>0</v>
      </c>
      <c r="M536" s="8"/>
      <c r="N536" s="270"/>
    </row>
    <row r="537" spans="1:14" s="3" customFormat="1" ht="12.2" customHeight="1" x14ac:dyDescent="0.15">
      <c r="A537" s="22" t="s">
        <v>632</v>
      </c>
      <c r="B537" s="104">
        <v>21</v>
      </c>
      <c r="C537" s="104">
        <v>14</v>
      </c>
      <c r="D537" s="2" t="s">
        <v>430</v>
      </c>
      <c r="E537" s="104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7">
        <f>SUM(F537:K537)</f>
        <v>0</v>
      </c>
      <c r="M537" s="8"/>
      <c r="N537" s="270"/>
    </row>
    <row r="538" spans="1:14" s="3" customFormat="1" ht="12.2" customHeight="1" thickBot="1" x14ac:dyDescent="0.2">
      <c r="A538" s="22" t="s">
        <v>633</v>
      </c>
      <c r="B538" s="104">
        <v>21</v>
      </c>
      <c r="C538" s="104">
        <v>15</v>
      </c>
      <c r="D538" s="2" t="s">
        <v>430</v>
      </c>
      <c r="E538" s="104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7">
        <f>SUM(F538:K538)</f>
        <v>0</v>
      </c>
      <c r="M538" s="8"/>
      <c r="N538" s="270"/>
    </row>
    <row r="539" spans="1:14" s="3" customFormat="1" ht="12.2" customHeight="1" thickTop="1" x14ac:dyDescent="0.15">
      <c r="A539" s="138" t="s">
        <v>69</v>
      </c>
      <c r="B539" s="106">
        <v>21</v>
      </c>
      <c r="C539" s="106">
        <v>16</v>
      </c>
      <c r="D539" s="156" t="s">
        <v>430</v>
      </c>
      <c r="E539" s="106"/>
      <c r="F539" s="88">
        <f>SUM(F536:F538)</f>
        <v>0</v>
      </c>
      <c r="G539" s="88">
        <f t="shared" ref="G539:L539" si="39">SUM(G536:G538)</f>
        <v>0</v>
      </c>
      <c r="H539" s="88">
        <f t="shared" si="39"/>
        <v>0</v>
      </c>
      <c r="I539" s="88">
        <f t="shared" si="39"/>
        <v>0</v>
      </c>
      <c r="J539" s="88">
        <f t="shared" si="39"/>
        <v>0</v>
      </c>
      <c r="K539" s="88">
        <f t="shared" si="39"/>
        <v>0</v>
      </c>
      <c r="L539" s="88">
        <f t="shared" si="39"/>
        <v>0</v>
      </c>
      <c r="M539" s="8"/>
      <c r="N539" s="270"/>
    </row>
    <row r="540" spans="1:14" s="3" customFormat="1" ht="12.2" customHeight="1" x14ac:dyDescent="0.15">
      <c r="A540" s="96" t="s">
        <v>70</v>
      </c>
      <c r="B540" s="104"/>
      <c r="C540" s="104"/>
      <c r="D540" s="104"/>
      <c r="E540" s="104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0"/>
    </row>
    <row r="541" spans="1:14" s="3" customFormat="1" ht="12.2" customHeight="1" x14ac:dyDescent="0.15">
      <c r="A541" s="22" t="s">
        <v>631</v>
      </c>
      <c r="B541" s="104">
        <v>21</v>
      </c>
      <c r="C541" s="104">
        <v>17</v>
      </c>
      <c r="D541" s="2" t="s">
        <v>430</v>
      </c>
      <c r="E541" s="104"/>
      <c r="F541" s="18">
        <v>64509.534217142849</v>
      </c>
      <c r="G541" s="18">
        <v>16207.344205714286</v>
      </c>
      <c r="H541" s="18">
        <v>16283.866754285713</v>
      </c>
      <c r="I541" s="18">
        <v>0</v>
      </c>
      <c r="J541" s="18">
        <v>0</v>
      </c>
      <c r="K541" s="18">
        <v>0</v>
      </c>
      <c r="L541" s="87">
        <f>SUM(F541:K541)</f>
        <v>97000.745177142846</v>
      </c>
      <c r="M541" s="8"/>
      <c r="N541" s="270"/>
    </row>
    <row r="542" spans="1:14" s="3" customFormat="1" ht="12.2" customHeight="1" x14ac:dyDescent="0.15">
      <c r="A542" s="22" t="s">
        <v>632</v>
      </c>
      <c r="B542" s="104">
        <v>21</v>
      </c>
      <c r="C542" s="104">
        <v>18</v>
      </c>
      <c r="D542" s="2" t="s">
        <v>430</v>
      </c>
      <c r="E542" s="104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7">
        <f>SUM(F542:K542)</f>
        <v>0</v>
      </c>
      <c r="M542" s="8"/>
      <c r="N542" s="270"/>
    </row>
    <row r="543" spans="1:14" s="3" customFormat="1" ht="12.2" customHeight="1" thickBot="1" x14ac:dyDescent="0.2">
      <c r="A543" s="22" t="s">
        <v>633</v>
      </c>
      <c r="B543" s="104">
        <v>21</v>
      </c>
      <c r="C543" s="104">
        <v>19</v>
      </c>
      <c r="D543" s="2" t="s">
        <v>430</v>
      </c>
      <c r="E543" s="104"/>
      <c r="F543" s="18">
        <v>26679.225782857142</v>
      </c>
      <c r="G543" s="18">
        <v>6702.8757942857155</v>
      </c>
      <c r="H543" s="18">
        <v>6734.5232457142856</v>
      </c>
      <c r="I543" s="18">
        <v>0</v>
      </c>
      <c r="J543" s="18">
        <v>0</v>
      </c>
      <c r="K543" s="18">
        <v>0</v>
      </c>
      <c r="L543" s="87">
        <f>SUM(F543:K543)</f>
        <v>40116.624822857142</v>
      </c>
      <c r="M543" s="8"/>
      <c r="N543" s="270"/>
    </row>
    <row r="544" spans="1:14" s="3" customFormat="1" ht="12.2" customHeight="1" thickTop="1" thickBot="1" x14ac:dyDescent="0.2">
      <c r="A544" s="129" t="s">
        <v>71</v>
      </c>
      <c r="B544" s="189">
        <v>21</v>
      </c>
      <c r="C544" s="189">
        <v>20</v>
      </c>
      <c r="D544" s="190" t="s">
        <v>430</v>
      </c>
      <c r="E544" s="189"/>
      <c r="F544" s="191">
        <f>SUM(F541:F543)</f>
        <v>91188.76</v>
      </c>
      <c r="G544" s="191">
        <f t="shared" ref="G544:L544" si="40">SUM(G541:G543)</f>
        <v>22910.22</v>
      </c>
      <c r="H544" s="191">
        <f t="shared" si="40"/>
        <v>23018.39</v>
      </c>
      <c r="I544" s="191">
        <f t="shared" si="40"/>
        <v>0</v>
      </c>
      <c r="J544" s="191">
        <f t="shared" si="40"/>
        <v>0</v>
      </c>
      <c r="K544" s="191">
        <f t="shared" si="40"/>
        <v>0</v>
      </c>
      <c r="L544" s="191">
        <f t="shared" si="40"/>
        <v>137117.37</v>
      </c>
      <c r="M544" s="8"/>
      <c r="N544" s="270"/>
    </row>
    <row r="545" spans="1:14" s="3" customFormat="1" ht="12.2" customHeight="1" thickTop="1" x14ac:dyDescent="0.15">
      <c r="A545" s="97" t="s">
        <v>72</v>
      </c>
      <c r="B545" s="106">
        <v>21</v>
      </c>
      <c r="C545" s="106">
        <v>21</v>
      </c>
      <c r="D545" s="156" t="s">
        <v>430</v>
      </c>
      <c r="E545" s="106"/>
      <c r="F545" s="88">
        <f>F524+F529+F534+F539+F544</f>
        <v>2076171.369854857</v>
      </c>
      <c r="G545" s="88">
        <f t="shared" ref="G545:L545" si="41">G524+G529+G534+G539+G544</f>
        <v>646826.25399999996</v>
      </c>
      <c r="H545" s="88">
        <f t="shared" si="41"/>
        <v>1037157.3</v>
      </c>
      <c r="I545" s="88">
        <f t="shared" si="41"/>
        <v>9029.6959999999999</v>
      </c>
      <c r="J545" s="88">
        <f t="shared" si="41"/>
        <v>44560.819999999992</v>
      </c>
      <c r="K545" s="88">
        <f t="shared" si="41"/>
        <v>7551</v>
      </c>
      <c r="L545" s="88">
        <f t="shared" si="41"/>
        <v>3821296.439854857</v>
      </c>
      <c r="M545" s="8"/>
      <c r="N545" s="270"/>
    </row>
    <row r="546" spans="1:14" s="3" customFormat="1" ht="12.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70"/>
    </row>
    <row r="547" spans="1:14" s="3" customFormat="1" ht="12.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286</v>
      </c>
      <c r="M547" s="8"/>
      <c r="N547" s="270"/>
    </row>
    <row r="548" spans="1:14" s="3" customFormat="1" ht="12.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286</v>
      </c>
      <c r="M548" s="8"/>
      <c r="N548" s="270"/>
    </row>
    <row r="549" spans="1:14" s="3" customFormat="1" ht="12.2" customHeight="1" x14ac:dyDescent="0.15">
      <c r="A549" s="22" t="s">
        <v>631</v>
      </c>
      <c r="B549" s="74">
        <v>21</v>
      </c>
      <c r="C549" s="74">
        <v>22</v>
      </c>
      <c r="D549" s="2" t="s">
        <v>430</v>
      </c>
      <c r="E549" s="74"/>
      <c r="F549" s="86">
        <f>L521</f>
        <v>1929300.8304000001</v>
      </c>
      <c r="G549" s="86">
        <f>L526</f>
        <v>284876.18707428576</v>
      </c>
      <c r="H549" s="86">
        <f>L531</f>
        <v>127455.49169714286</v>
      </c>
      <c r="I549" s="86">
        <f>L536</f>
        <v>0</v>
      </c>
      <c r="J549" s="86">
        <f>L541</f>
        <v>97000.745177142846</v>
      </c>
      <c r="K549" s="86">
        <f>SUM(F549:J549)</f>
        <v>2438633.2543485714</v>
      </c>
      <c r="L549" s="24" t="s">
        <v>286</v>
      </c>
      <c r="M549" s="8"/>
      <c r="N549" s="270"/>
    </row>
    <row r="550" spans="1:14" s="3" customFormat="1" ht="12.2" customHeight="1" x14ac:dyDescent="0.15">
      <c r="A550" s="22" t="s">
        <v>632</v>
      </c>
      <c r="B550" s="74">
        <v>21</v>
      </c>
      <c r="C550" s="74">
        <v>23</v>
      </c>
      <c r="D550" s="2" t="s">
        <v>430</v>
      </c>
      <c r="E550" s="74"/>
      <c r="F550" s="86">
        <f>L522</f>
        <v>0</v>
      </c>
      <c r="G550" s="86">
        <f>L527</f>
        <v>0</v>
      </c>
      <c r="H550" s="86">
        <f>L532</f>
        <v>0</v>
      </c>
      <c r="I550" s="86">
        <f>L537</f>
        <v>0</v>
      </c>
      <c r="J550" s="86">
        <f>L542</f>
        <v>0</v>
      </c>
      <c r="K550" s="86">
        <f>SUM(F550:J550)</f>
        <v>0</v>
      </c>
      <c r="L550" s="24" t="s">
        <v>286</v>
      </c>
      <c r="M550" s="8"/>
      <c r="N550" s="270"/>
    </row>
    <row r="551" spans="1:14" s="3" customFormat="1" ht="12.2" customHeight="1" thickBot="1" x14ac:dyDescent="0.2">
      <c r="A551" s="22" t="s">
        <v>633</v>
      </c>
      <c r="B551" s="74">
        <v>21</v>
      </c>
      <c r="C551" s="74">
        <v>24</v>
      </c>
      <c r="D551" s="2" t="s">
        <v>430</v>
      </c>
      <c r="E551" s="74"/>
      <c r="F551" s="86">
        <f>L523</f>
        <v>1172761.8696000001</v>
      </c>
      <c r="G551" s="86">
        <f>L528</f>
        <v>117816.32292571428</v>
      </c>
      <c r="H551" s="86">
        <f>L533</f>
        <v>51968.368157714285</v>
      </c>
      <c r="I551" s="86">
        <f>L538</f>
        <v>0</v>
      </c>
      <c r="J551" s="86">
        <f>L543</f>
        <v>40116.624822857142</v>
      </c>
      <c r="K551" s="86">
        <f>SUM(F551:J551)</f>
        <v>1382663.1855062859</v>
      </c>
      <c r="L551" s="24" t="s">
        <v>286</v>
      </c>
      <c r="M551" s="8"/>
      <c r="N551" s="270"/>
    </row>
    <row r="552" spans="1:14" s="3" customFormat="1" ht="12.2" customHeight="1" thickTop="1" x14ac:dyDescent="0.15">
      <c r="A552" s="170" t="s">
        <v>338</v>
      </c>
      <c r="B552" s="44">
        <v>21</v>
      </c>
      <c r="C552" s="44">
        <v>25</v>
      </c>
      <c r="D552" s="39" t="s">
        <v>430</v>
      </c>
      <c r="E552" s="44"/>
      <c r="F552" s="88">
        <f t="shared" ref="F552:K552" si="42">SUM(F549:F551)</f>
        <v>3102062.7</v>
      </c>
      <c r="G552" s="88">
        <f t="shared" si="42"/>
        <v>402692.51</v>
      </c>
      <c r="H552" s="88">
        <f t="shared" si="42"/>
        <v>179423.85985485715</v>
      </c>
      <c r="I552" s="88">
        <f t="shared" si="42"/>
        <v>0</v>
      </c>
      <c r="J552" s="88">
        <f t="shared" si="42"/>
        <v>137117.37</v>
      </c>
      <c r="K552" s="88">
        <f t="shared" si="42"/>
        <v>3821296.4398548575</v>
      </c>
      <c r="L552" s="24"/>
      <c r="M552" s="8"/>
      <c r="N552" s="270"/>
    </row>
    <row r="553" spans="1:14" s="3" customFormat="1" ht="12.2" customHeight="1" x14ac:dyDescent="0.15">
      <c r="A553" s="95" t="s">
        <v>578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70"/>
    </row>
    <row r="554" spans="1:14" s="3" customFormat="1" ht="12.2" customHeight="1" x14ac:dyDescent="0.15">
      <c r="B554" s="104"/>
      <c r="C554" s="114"/>
      <c r="D554" s="114"/>
      <c r="E554" s="114"/>
      <c r="F554" s="175" t="s">
        <v>687</v>
      </c>
      <c r="G554" s="175" t="s">
        <v>688</v>
      </c>
      <c r="H554" s="175" t="s">
        <v>689</v>
      </c>
      <c r="I554" s="175" t="s">
        <v>690</v>
      </c>
      <c r="J554" s="175" t="s">
        <v>691</v>
      </c>
      <c r="K554" s="175" t="s">
        <v>692</v>
      </c>
      <c r="L554" s="105"/>
      <c r="M554" s="8"/>
      <c r="N554" s="270"/>
    </row>
    <row r="555" spans="1:14" s="3" customFormat="1" ht="12.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70"/>
    </row>
    <row r="556" spans="1:14" s="3" customFormat="1" ht="12.2" customHeight="1" x14ac:dyDescent="0.15">
      <c r="A556" s="95" t="s">
        <v>85</v>
      </c>
      <c r="B556" s="104"/>
      <c r="C556" s="114"/>
      <c r="D556" s="114"/>
      <c r="E556" s="114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0"/>
    </row>
    <row r="557" spans="1:14" s="3" customFormat="1" ht="12.2" customHeight="1" x14ac:dyDescent="0.15">
      <c r="A557" s="22" t="s">
        <v>631</v>
      </c>
      <c r="B557" s="104">
        <v>22</v>
      </c>
      <c r="C557" s="114">
        <v>1</v>
      </c>
      <c r="D557" s="2" t="s">
        <v>430</v>
      </c>
      <c r="E557" s="114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7">
        <f>SUM(F557:K557)</f>
        <v>0</v>
      </c>
      <c r="M557" s="8"/>
      <c r="N557" s="270"/>
    </row>
    <row r="558" spans="1:14" s="3" customFormat="1" ht="12.2" customHeight="1" x14ac:dyDescent="0.15">
      <c r="A558" s="22" t="s">
        <v>632</v>
      </c>
      <c r="B558" s="104">
        <v>22</v>
      </c>
      <c r="C558" s="114">
        <v>2</v>
      </c>
      <c r="D558" s="2" t="s">
        <v>430</v>
      </c>
      <c r="E558" s="114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7">
        <f>SUM(F558:K558)</f>
        <v>0</v>
      </c>
      <c r="M558" s="8"/>
      <c r="N558" s="270"/>
    </row>
    <row r="559" spans="1:14" s="3" customFormat="1" ht="12.2" customHeight="1" thickBot="1" x14ac:dyDescent="0.2">
      <c r="A559" s="22" t="s">
        <v>633</v>
      </c>
      <c r="B559" s="104">
        <v>22</v>
      </c>
      <c r="C559" s="114">
        <v>3</v>
      </c>
      <c r="D559" s="2" t="s">
        <v>430</v>
      </c>
      <c r="E559" s="114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7">
        <f>SUM(F559:K559)</f>
        <v>0</v>
      </c>
      <c r="M559" s="8"/>
      <c r="N559" s="270"/>
    </row>
    <row r="560" spans="1:14" s="3" customFormat="1" ht="12.2" customHeight="1" thickTop="1" x14ac:dyDescent="0.15">
      <c r="A560" s="138" t="s">
        <v>63</v>
      </c>
      <c r="B560" s="106">
        <v>22</v>
      </c>
      <c r="C560" s="193">
        <v>4</v>
      </c>
      <c r="D560" s="194" t="s">
        <v>430</v>
      </c>
      <c r="E560" s="193"/>
      <c r="F560" s="107">
        <f t="shared" ref="F560:L560" si="43">SUM(F557:F559)</f>
        <v>0</v>
      </c>
      <c r="G560" s="107">
        <f t="shared" si="43"/>
        <v>0</v>
      </c>
      <c r="H560" s="107">
        <f t="shared" si="43"/>
        <v>0</v>
      </c>
      <c r="I560" s="107">
        <f t="shared" si="43"/>
        <v>0</v>
      </c>
      <c r="J560" s="107">
        <f t="shared" si="43"/>
        <v>0</v>
      </c>
      <c r="K560" s="107">
        <f t="shared" si="43"/>
        <v>0</v>
      </c>
      <c r="L560" s="88">
        <f t="shared" si="43"/>
        <v>0</v>
      </c>
      <c r="M560" s="8"/>
      <c r="N560" s="270"/>
    </row>
    <row r="561" spans="1:14" s="3" customFormat="1" ht="12.2" customHeight="1" x14ac:dyDescent="0.15">
      <c r="A561" s="95" t="s">
        <v>86</v>
      </c>
      <c r="B561" s="104"/>
      <c r="C561" s="114"/>
      <c r="D561" s="114"/>
      <c r="E561" s="114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0"/>
    </row>
    <row r="562" spans="1:14" s="3" customFormat="1" ht="12.2" customHeight="1" x14ac:dyDescent="0.15">
      <c r="A562" s="22" t="s">
        <v>631</v>
      </c>
      <c r="B562" s="104">
        <v>22</v>
      </c>
      <c r="C562" s="114">
        <v>5</v>
      </c>
      <c r="D562" s="2" t="s">
        <v>430</v>
      </c>
      <c r="E562" s="114"/>
      <c r="F562" s="18">
        <v>0</v>
      </c>
      <c r="G562" s="18">
        <v>0</v>
      </c>
      <c r="H562" s="18">
        <v>24506.825462857145</v>
      </c>
      <c r="I562" s="18">
        <v>0</v>
      </c>
      <c r="J562" s="18">
        <v>0</v>
      </c>
      <c r="K562" s="18">
        <v>0</v>
      </c>
      <c r="L562" s="87">
        <f>SUM(F562:K562)</f>
        <v>24506.825462857145</v>
      </c>
      <c r="M562" s="8"/>
      <c r="N562" s="270"/>
    </row>
    <row r="563" spans="1:14" s="3" customFormat="1" ht="12.2" customHeight="1" x14ac:dyDescent="0.15">
      <c r="A563" s="22" t="s">
        <v>632</v>
      </c>
      <c r="B563" s="104">
        <v>22</v>
      </c>
      <c r="C563" s="114">
        <v>6</v>
      </c>
      <c r="D563" s="2" t="s">
        <v>430</v>
      </c>
      <c r="E563" s="114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7">
        <f>SUM(F563:K563)</f>
        <v>0</v>
      </c>
      <c r="M563" s="8"/>
      <c r="N563" s="270"/>
    </row>
    <row r="564" spans="1:14" s="3" customFormat="1" ht="12.2" customHeight="1" thickBot="1" x14ac:dyDescent="0.2">
      <c r="A564" s="22" t="s">
        <v>633</v>
      </c>
      <c r="B564" s="104">
        <v>22</v>
      </c>
      <c r="C564" s="117">
        <v>7</v>
      </c>
      <c r="D564" s="2" t="s">
        <v>430</v>
      </c>
      <c r="E564" s="117"/>
      <c r="F564" s="18">
        <v>0</v>
      </c>
      <c r="G564" s="18">
        <v>0</v>
      </c>
      <c r="H564" s="18">
        <v>10135.29453714286</v>
      </c>
      <c r="I564" s="18">
        <v>0</v>
      </c>
      <c r="J564" s="18">
        <v>0</v>
      </c>
      <c r="K564" s="18">
        <v>0</v>
      </c>
      <c r="L564" s="87">
        <f>SUM(F564:K564)</f>
        <v>10135.29453714286</v>
      </c>
      <c r="M564" s="8"/>
      <c r="N564" s="270"/>
    </row>
    <row r="565" spans="1:14" s="3" customFormat="1" ht="12.2" customHeight="1" thickTop="1" x14ac:dyDescent="0.15">
      <c r="A565" s="138" t="s">
        <v>65</v>
      </c>
      <c r="B565" s="106">
        <v>22</v>
      </c>
      <c r="C565" s="106">
        <v>8</v>
      </c>
      <c r="D565" s="194" t="s">
        <v>430</v>
      </c>
      <c r="E565" s="106"/>
      <c r="F565" s="88">
        <f t="shared" ref="F565:L565" si="44">SUM(F562:F564)</f>
        <v>0</v>
      </c>
      <c r="G565" s="88">
        <f t="shared" si="44"/>
        <v>0</v>
      </c>
      <c r="H565" s="88">
        <f t="shared" si="44"/>
        <v>34642.120000000003</v>
      </c>
      <c r="I565" s="88">
        <f t="shared" si="44"/>
        <v>0</v>
      </c>
      <c r="J565" s="88">
        <f t="shared" si="44"/>
        <v>0</v>
      </c>
      <c r="K565" s="88">
        <f t="shared" si="44"/>
        <v>0</v>
      </c>
      <c r="L565" s="88">
        <f t="shared" si="44"/>
        <v>34642.120000000003</v>
      </c>
      <c r="M565" s="8"/>
      <c r="N565" s="270"/>
    </row>
    <row r="566" spans="1:14" s="3" customFormat="1" ht="12.2" customHeight="1" x14ac:dyDescent="0.15">
      <c r="A566" s="96" t="s">
        <v>87</v>
      </c>
      <c r="B566" s="104"/>
      <c r="C566" s="104"/>
      <c r="D566" s="104"/>
      <c r="E566" s="104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0"/>
    </row>
    <row r="567" spans="1:14" s="3" customFormat="1" ht="12.2" customHeight="1" x14ac:dyDescent="0.15">
      <c r="A567" s="22" t="s">
        <v>631</v>
      </c>
      <c r="B567" s="104">
        <v>22</v>
      </c>
      <c r="C567" s="104">
        <v>9</v>
      </c>
      <c r="D567" s="2" t="s">
        <v>430</v>
      </c>
      <c r="E567" s="104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7">
        <f>SUM(F567:K567)</f>
        <v>0</v>
      </c>
      <c r="M567" s="8"/>
      <c r="N567" s="270"/>
    </row>
    <row r="568" spans="1:14" s="3" customFormat="1" ht="12.2" customHeight="1" x14ac:dyDescent="0.15">
      <c r="A568" s="22" t="s">
        <v>632</v>
      </c>
      <c r="B568" s="104">
        <v>22</v>
      </c>
      <c r="C568" s="104">
        <v>10</v>
      </c>
      <c r="D568" s="2" t="s">
        <v>430</v>
      </c>
      <c r="E568" s="104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7">
        <f>SUM(F568:K568)</f>
        <v>0</v>
      </c>
      <c r="M568" s="8"/>
      <c r="N568" s="270"/>
    </row>
    <row r="569" spans="1:14" s="3" customFormat="1" ht="12.2" customHeight="1" thickBot="1" x14ac:dyDescent="0.2">
      <c r="A569" s="22" t="s">
        <v>633</v>
      </c>
      <c r="B569" s="104">
        <v>22</v>
      </c>
      <c r="C569" s="104">
        <v>11</v>
      </c>
      <c r="D569" s="2" t="s">
        <v>430</v>
      </c>
      <c r="E569" s="104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7">
        <f>SUM(F569:K569)</f>
        <v>0</v>
      </c>
      <c r="M569" s="8"/>
      <c r="N569" s="270"/>
    </row>
    <row r="570" spans="1:14" s="3" customFormat="1" ht="12.2" customHeight="1" thickTop="1" thickBot="1" x14ac:dyDescent="0.2">
      <c r="A570" s="129" t="s">
        <v>67</v>
      </c>
      <c r="B570" s="189">
        <v>22</v>
      </c>
      <c r="C570" s="189">
        <v>12</v>
      </c>
      <c r="D570" s="195" t="s">
        <v>430</v>
      </c>
      <c r="E570" s="189"/>
      <c r="F570" s="191">
        <f>SUM(F567:F569)</f>
        <v>0</v>
      </c>
      <c r="G570" s="191">
        <f t="shared" ref="G570:L570" si="45">SUM(G567:G569)</f>
        <v>0</v>
      </c>
      <c r="H570" s="191">
        <f t="shared" si="45"/>
        <v>0</v>
      </c>
      <c r="I570" s="191">
        <f t="shared" si="45"/>
        <v>0</v>
      </c>
      <c r="J570" s="191">
        <f t="shared" si="45"/>
        <v>0</v>
      </c>
      <c r="K570" s="191">
        <f t="shared" si="45"/>
        <v>0</v>
      </c>
      <c r="L570" s="191">
        <f t="shared" si="45"/>
        <v>0</v>
      </c>
      <c r="M570" s="8"/>
      <c r="N570" s="270"/>
    </row>
    <row r="571" spans="1:14" s="3" customFormat="1" ht="12.2" customHeight="1" thickTop="1" x14ac:dyDescent="0.15">
      <c r="A571" s="97" t="s">
        <v>88</v>
      </c>
      <c r="B571" s="106">
        <v>22</v>
      </c>
      <c r="C571" s="106">
        <v>13</v>
      </c>
      <c r="D571" s="156" t="s">
        <v>430</v>
      </c>
      <c r="E571" s="106"/>
      <c r="F571" s="88">
        <f>F560+F565+F570</f>
        <v>0</v>
      </c>
      <c r="G571" s="88">
        <f t="shared" ref="G571:L571" si="46">G560+G565+G570</f>
        <v>0</v>
      </c>
      <c r="H571" s="88">
        <f t="shared" si="46"/>
        <v>34642.120000000003</v>
      </c>
      <c r="I571" s="88">
        <f t="shared" si="46"/>
        <v>0</v>
      </c>
      <c r="J571" s="88">
        <f t="shared" si="46"/>
        <v>0</v>
      </c>
      <c r="K571" s="88">
        <f t="shared" si="46"/>
        <v>0</v>
      </c>
      <c r="L571" s="88">
        <f t="shared" si="46"/>
        <v>34642.120000000003</v>
      </c>
      <c r="M571" s="8"/>
      <c r="N571" s="270"/>
    </row>
    <row r="572" spans="1:14" s="3" customFormat="1" ht="12.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70"/>
    </row>
    <row r="573" spans="1:14" s="3" customFormat="1" ht="12.2" customHeight="1" x14ac:dyDescent="0.15">
      <c r="A573" s="96" t="s">
        <v>769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70"/>
    </row>
    <row r="574" spans="1:14" s="3" customFormat="1" ht="12.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286</v>
      </c>
      <c r="K574" s="24" t="s">
        <v>286</v>
      </c>
      <c r="L574" s="24" t="s">
        <v>286</v>
      </c>
      <c r="M574" s="8"/>
      <c r="N574" s="270"/>
    </row>
    <row r="575" spans="1:14" s="3" customFormat="1" ht="12.2" customHeight="1" x14ac:dyDescent="0.15">
      <c r="A575" s="98" t="s">
        <v>667</v>
      </c>
      <c r="B575" s="74">
        <v>22</v>
      </c>
      <c r="C575" s="74">
        <v>14</v>
      </c>
      <c r="D575" s="2" t="s">
        <v>430</v>
      </c>
      <c r="E575" s="74">
        <v>561</v>
      </c>
      <c r="F575" s="18">
        <v>0</v>
      </c>
      <c r="G575" s="18">
        <v>0</v>
      </c>
      <c r="H575" s="18">
        <v>0</v>
      </c>
      <c r="I575" s="86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0"/>
    </row>
    <row r="576" spans="1:14" s="3" customFormat="1" ht="12.2" customHeight="1" x14ac:dyDescent="0.15">
      <c r="A576" s="98" t="s">
        <v>668</v>
      </c>
      <c r="B576" s="74">
        <v>22</v>
      </c>
      <c r="C576" s="74">
        <v>15</v>
      </c>
      <c r="D576" s="2" t="s">
        <v>430</v>
      </c>
      <c r="E576" s="74">
        <v>562</v>
      </c>
      <c r="F576" s="18">
        <v>0</v>
      </c>
      <c r="G576" s="18">
        <v>0</v>
      </c>
      <c r="H576" s="18">
        <v>0</v>
      </c>
      <c r="I576" s="86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0"/>
    </row>
    <row r="577" spans="1:14" s="3" customFormat="1" ht="12.2" customHeight="1" x14ac:dyDescent="0.15">
      <c r="A577" s="98" t="s">
        <v>738</v>
      </c>
      <c r="B577" s="74">
        <v>22</v>
      </c>
      <c r="C577" s="74">
        <v>16</v>
      </c>
      <c r="D577" s="2" t="s">
        <v>430</v>
      </c>
      <c r="E577" s="74">
        <v>563</v>
      </c>
      <c r="F577" s="24" t="s">
        <v>286</v>
      </c>
      <c r="G577" s="24" t="s">
        <v>286</v>
      </c>
      <c r="H577" s="18">
        <v>0</v>
      </c>
      <c r="I577" s="86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0"/>
    </row>
    <row r="578" spans="1:14" s="3" customFormat="1" ht="12.2" customHeight="1" x14ac:dyDescent="0.15">
      <c r="A578" s="98" t="s">
        <v>672</v>
      </c>
      <c r="B578" s="74">
        <v>22</v>
      </c>
      <c r="C578" s="74">
        <v>17</v>
      </c>
      <c r="D578" s="2" t="s">
        <v>430</v>
      </c>
      <c r="E578" s="74">
        <v>564</v>
      </c>
      <c r="F578" s="18">
        <v>0</v>
      </c>
      <c r="G578" s="18">
        <v>0</v>
      </c>
      <c r="H578" s="18">
        <v>0</v>
      </c>
      <c r="I578" s="86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0"/>
    </row>
    <row r="579" spans="1:14" s="3" customFormat="1" ht="12.2" customHeight="1" x14ac:dyDescent="0.15">
      <c r="A579" s="98" t="s">
        <v>669</v>
      </c>
      <c r="B579" s="74">
        <v>22</v>
      </c>
      <c r="C579" s="74">
        <v>18</v>
      </c>
      <c r="D579" s="2" t="s">
        <v>430</v>
      </c>
      <c r="E579" s="74">
        <v>561</v>
      </c>
      <c r="F579" s="18">
        <v>15604.41</v>
      </c>
      <c r="G579" s="18">
        <v>0</v>
      </c>
      <c r="H579" s="18">
        <v>58506.080000000002</v>
      </c>
      <c r="I579" s="86">
        <f t="shared" si="47"/>
        <v>74110.490000000005</v>
      </c>
      <c r="J579" s="24" t="s">
        <v>286</v>
      </c>
      <c r="K579" s="24" t="s">
        <v>286</v>
      </c>
      <c r="L579" s="24" t="s">
        <v>286</v>
      </c>
      <c r="M579" s="8"/>
      <c r="N579" s="270"/>
    </row>
    <row r="580" spans="1:14" s="3" customFormat="1" ht="12.2" customHeight="1" x14ac:dyDescent="0.15">
      <c r="A580" s="98" t="s">
        <v>670</v>
      </c>
      <c r="B580" s="74">
        <v>22</v>
      </c>
      <c r="C580" s="74">
        <v>19</v>
      </c>
      <c r="D580" s="2" t="s">
        <v>430</v>
      </c>
      <c r="E580" s="74">
        <v>562</v>
      </c>
      <c r="F580" s="18">
        <v>0</v>
      </c>
      <c r="G580" s="18">
        <v>0</v>
      </c>
      <c r="H580" s="18">
        <v>0</v>
      </c>
      <c r="I580" s="86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0"/>
    </row>
    <row r="581" spans="1:14" s="3" customFormat="1" ht="12.2" customHeight="1" x14ac:dyDescent="0.15">
      <c r="A581" s="144" t="s">
        <v>739</v>
      </c>
      <c r="B581" s="74">
        <v>22</v>
      </c>
      <c r="C581" s="74">
        <v>20</v>
      </c>
      <c r="D581" s="2" t="s">
        <v>430</v>
      </c>
      <c r="E581" s="74">
        <v>563</v>
      </c>
      <c r="F581" s="24" t="s">
        <v>286</v>
      </c>
      <c r="G581" s="24" t="s">
        <v>286</v>
      </c>
      <c r="H581" s="18">
        <v>0</v>
      </c>
      <c r="I581" s="86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0"/>
    </row>
    <row r="582" spans="1:14" s="3" customFormat="1" ht="12.2" customHeight="1" x14ac:dyDescent="0.15">
      <c r="A582" s="144" t="s">
        <v>671</v>
      </c>
      <c r="B582" s="74">
        <v>22</v>
      </c>
      <c r="C582" s="74">
        <v>21</v>
      </c>
      <c r="D582" s="2" t="s">
        <v>430</v>
      </c>
      <c r="E582" s="74">
        <v>564</v>
      </c>
      <c r="F582" s="18">
        <v>178805.33000000002</v>
      </c>
      <c r="G582" s="18">
        <v>0</v>
      </c>
      <c r="H582" s="18">
        <v>577703.93000000005</v>
      </c>
      <c r="I582" s="86">
        <f t="shared" si="47"/>
        <v>756509.26</v>
      </c>
      <c r="J582" s="24" t="s">
        <v>286</v>
      </c>
      <c r="K582" s="24" t="s">
        <v>286</v>
      </c>
      <c r="L582" s="24" t="s">
        <v>286</v>
      </c>
      <c r="M582" s="8"/>
      <c r="N582" s="270"/>
    </row>
    <row r="583" spans="1:14" s="3" customFormat="1" ht="12.2" customHeight="1" x14ac:dyDescent="0.15">
      <c r="A583" s="144" t="s">
        <v>634</v>
      </c>
      <c r="B583" s="74">
        <v>22</v>
      </c>
      <c r="C583" s="74">
        <v>22</v>
      </c>
      <c r="D583" s="2" t="s">
        <v>430</v>
      </c>
      <c r="E583" s="74">
        <v>569</v>
      </c>
      <c r="F583" s="18">
        <v>0</v>
      </c>
      <c r="G583" s="18">
        <v>0</v>
      </c>
      <c r="H583" s="18">
        <v>0</v>
      </c>
      <c r="I583" s="86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0"/>
    </row>
    <row r="584" spans="1:14" s="3" customFormat="1" ht="12.2" customHeight="1" x14ac:dyDescent="0.15">
      <c r="A584" s="22" t="s">
        <v>673</v>
      </c>
      <c r="B584" s="74">
        <v>22</v>
      </c>
      <c r="C584" s="74">
        <v>23</v>
      </c>
      <c r="D584" s="2" t="s">
        <v>430</v>
      </c>
      <c r="E584" s="74">
        <v>561</v>
      </c>
      <c r="F584" s="18">
        <v>0</v>
      </c>
      <c r="G584" s="18">
        <v>0</v>
      </c>
      <c r="H584" s="18">
        <v>59275.08</v>
      </c>
      <c r="I584" s="86">
        <f t="shared" si="47"/>
        <v>59275.08</v>
      </c>
      <c r="J584" s="24" t="s">
        <v>286</v>
      </c>
      <c r="K584" s="24" t="s">
        <v>286</v>
      </c>
      <c r="L584" s="24" t="s">
        <v>286</v>
      </c>
      <c r="M584" s="8"/>
      <c r="N584" s="270"/>
    </row>
    <row r="585" spans="1:14" s="3" customFormat="1" ht="12.2" customHeight="1" x14ac:dyDescent="0.15">
      <c r="A585" s="22" t="s">
        <v>674</v>
      </c>
      <c r="B585" s="74">
        <v>22</v>
      </c>
      <c r="C585" s="74">
        <v>24</v>
      </c>
      <c r="D585" s="2" t="s">
        <v>430</v>
      </c>
      <c r="E585" s="74">
        <v>562</v>
      </c>
      <c r="F585" s="18">
        <v>0</v>
      </c>
      <c r="G585" s="18">
        <v>0</v>
      </c>
      <c r="H585" s="18">
        <v>0</v>
      </c>
      <c r="I585" s="86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0"/>
    </row>
    <row r="586" spans="1:14" s="3" customFormat="1" ht="12.2" customHeight="1" x14ac:dyDescent="0.15">
      <c r="A586" s="22" t="s">
        <v>740</v>
      </c>
      <c r="B586" s="74">
        <v>22</v>
      </c>
      <c r="C586" s="74">
        <v>25</v>
      </c>
      <c r="D586" s="2" t="s">
        <v>430</v>
      </c>
      <c r="E586" s="74">
        <v>563</v>
      </c>
      <c r="F586" s="24" t="s">
        <v>286</v>
      </c>
      <c r="G586" s="24" t="s">
        <v>286</v>
      </c>
      <c r="H586" s="18">
        <v>0</v>
      </c>
      <c r="I586" s="86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0"/>
    </row>
    <row r="587" spans="1:14" s="3" customFormat="1" ht="12.2" customHeight="1" x14ac:dyDescent="0.15">
      <c r="A587" s="22" t="s">
        <v>675</v>
      </c>
      <c r="B587" s="74">
        <v>22</v>
      </c>
      <c r="C587" s="74">
        <v>26</v>
      </c>
      <c r="D587" s="2" t="s">
        <v>430</v>
      </c>
      <c r="E587" s="74">
        <v>564</v>
      </c>
      <c r="F587" s="18">
        <v>0</v>
      </c>
      <c r="G587" s="18">
        <v>0</v>
      </c>
      <c r="H587" s="18">
        <v>0</v>
      </c>
      <c r="I587" s="86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0"/>
    </row>
    <row r="588" spans="1:14" s="3" customFormat="1" ht="12.2" customHeight="1" x14ac:dyDescent="0.15">
      <c r="A588" s="171" t="s">
        <v>741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70"/>
    </row>
    <row r="589" spans="1:14" s="3" customFormat="1" ht="12.2" customHeight="1" x14ac:dyDescent="0.15">
      <c r="A589" s="145" t="s">
        <v>652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70"/>
    </row>
    <row r="590" spans="1:14" s="3" customFormat="1" ht="12.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70"/>
    </row>
    <row r="591" spans="1:14" s="3" customFormat="1" ht="12.2" customHeight="1" x14ac:dyDescent="0.15">
      <c r="A591" s="3" t="s">
        <v>635</v>
      </c>
      <c r="B591" s="74">
        <v>23</v>
      </c>
      <c r="C591" s="74">
        <v>1</v>
      </c>
      <c r="D591" s="2" t="s">
        <v>430</v>
      </c>
      <c r="E591" s="74"/>
      <c r="F591" s="101">
        <v>2721</v>
      </c>
      <c r="G591" s="102" t="s">
        <v>97</v>
      </c>
      <c r="H591" s="18">
        <v>213526.13691428571</v>
      </c>
      <c r="I591" s="18">
        <v>0</v>
      </c>
      <c r="J591" s="18">
        <v>88308.063085714297</v>
      </c>
      <c r="K591" s="103">
        <f t="shared" ref="K591:K597" si="48">SUM(H591:J591)</f>
        <v>301834.2</v>
      </c>
      <c r="L591" s="24" t="s">
        <v>286</v>
      </c>
      <c r="M591" s="8"/>
      <c r="N591" s="270"/>
    </row>
    <row r="592" spans="1:14" s="3" customFormat="1" ht="12.2" customHeight="1" x14ac:dyDescent="0.15">
      <c r="A592" s="3" t="s">
        <v>636</v>
      </c>
      <c r="B592" s="74">
        <v>23</v>
      </c>
      <c r="C592" s="74">
        <v>2</v>
      </c>
      <c r="D592" s="2" t="s">
        <v>430</v>
      </c>
      <c r="E592" s="74"/>
      <c r="F592" s="101">
        <v>2722</v>
      </c>
      <c r="G592" s="102" t="s">
        <v>97</v>
      </c>
      <c r="H592" s="18">
        <v>97000.745177142846</v>
      </c>
      <c r="I592" s="18">
        <v>0</v>
      </c>
      <c r="J592" s="18">
        <v>40116.624822857142</v>
      </c>
      <c r="K592" s="103">
        <f t="shared" si="48"/>
        <v>137117.37</v>
      </c>
      <c r="L592" s="24" t="s">
        <v>286</v>
      </c>
      <c r="M592" s="8"/>
      <c r="N592" s="270"/>
    </row>
    <row r="593" spans="1:14" s="3" customFormat="1" ht="12.2" customHeight="1" x14ac:dyDescent="0.15">
      <c r="A593" s="3" t="s">
        <v>637</v>
      </c>
      <c r="B593" s="74">
        <v>23</v>
      </c>
      <c r="C593" s="74">
        <v>3</v>
      </c>
      <c r="D593" s="2" t="s">
        <v>430</v>
      </c>
      <c r="E593" s="74"/>
      <c r="F593" s="101">
        <v>2723</v>
      </c>
      <c r="G593" s="102" t="s">
        <v>97</v>
      </c>
      <c r="H593" s="18">
        <v>0</v>
      </c>
      <c r="I593" s="18">
        <v>0</v>
      </c>
      <c r="J593" s="18">
        <v>33674.620000000003</v>
      </c>
      <c r="K593" s="103">
        <f t="shared" si="48"/>
        <v>33674.620000000003</v>
      </c>
      <c r="L593" s="24" t="s">
        <v>286</v>
      </c>
      <c r="M593" s="8"/>
      <c r="N593" s="270"/>
    </row>
    <row r="594" spans="1:14" s="3" customFormat="1" ht="12.2" customHeight="1" x14ac:dyDescent="0.15">
      <c r="A594" s="22" t="s">
        <v>638</v>
      </c>
      <c r="B594" s="74">
        <v>23</v>
      </c>
      <c r="C594" s="74">
        <v>4</v>
      </c>
      <c r="D594" s="2" t="s">
        <v>430</v>
      </c>
      <c r="E594" s="74"/>
      <c r="F594" s="101">
        <v>2724</v>
      </c>
      <c r="G594" s="102" t="s">
        <v>97</v>
      </c>
      <c r="H594" s="18">
        <v>4108.4799999999996</v>
      </c>
      <c r="I594" s="18">
        <v>0</v>
      </c>
      <c r="J594" s="18">
        <v>8794.6</v>
      </c>
      <c r="K594" s="103">
        <f t="shared" si="48"/>
        <v>12903.08</v>
      </c>
      <c r="L594" s="24" t="s">
        <v>286</v>
      </c>
      <c r="M594" s="8"/>
      <c r="N594" s="270"/>
    </row>
    <row r="595" spans="1:14" s="3" customFormat="1" ht="12.2" customHeight="1" x14ac:dyDescent="0.15">
      <c r="A595" s="169" t="s">
        <v>650</v>
      </c>
      <c r="B595" s="74">
        <v>23</v>
      </c>
      <c r="C595" s="74">
        <v>5</v>
      </c>
      <c r="D595" s="2" t="s">
        <v>430</v>
      </c>
      <c r="E595" s="74"/>
      <c r="F595" s="101">
        <v>2725</v>
      </c>
      <c r="G595" s="102" t="s">
        <v>97</v>
      </c>
      <c r="H595" s="18">
        <v>2570.1110057142855</v>
      </c>
      <c r="I595" s="18">
        <v>0</v>
      </c>
      <c r="J595" s="18">
        <v>1816.8389942857143</v>
      </c>
      <c r="K595" s="103">
        <f t="shared" si="48"/>
        <v>4386.95</v>
      </c>
      <c r="L595" s="24" t="s">
        <v>286</v>
      </c>
      <c r="M595" s="8"/>
      <c r="N595" s="270"/>
    </row>
    <row r="596" spans="1:14" s="3" customFormat="1" ht="12.2" customHeight="1" x14ac:dyDescent="0.15">
      <c r="A596" s="22" t="s">
        <v>639</v>
      </c>
      <c r="B596" s="74">
        <v>23</v>
      </c>
      <c r="C596" s="74">
        <v>6</v>
      </c>
      <c r="D596" s="2" t="s">
        <v>430</v>
      </c>
      <c r="E596" s="74"/>
      <c r="F596" s="101">
        <v>2726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8"/>
        <v>0</v>
      </c>
      <c r="L596" s="24" t="s">
        <v>286</v>
      </c>
      <c r="M596" s="8"/>
      <c r="N596" s="270"/>
    </row>
    <row r="597" spans="1:14" s="3" customFormat="1" ht="12.2" customHeight="1" thickBot="1" x14ac:dyDescent="0.2">
      <c r="A597" s="3" t="s">
        <v>653</v>
      </c>
      <c r="B597" s="74">
        <v>23</v>
      </c>
      <c r="C597" s="74">
        <v>7</v>
      </c>
      <c r="D597" s="2" t="s">
        <v>430</v>
      </c>
      <c r="E597" s="74"/>
      <c r="F597" s="101">
        <v>2729</v>
      </c>
      <c r="G597" s="102" t="s">
        <v>97</v>
      </c>
      <c r="H597" s="18">
        <v>6197.3431085714274</v>
      </c>
      <c r="I597" s="18">
        <v>0</v>
      </c>
      <c r="J597" s="18">
        <v>2563.0368914285714</v>
      </c>
      <c r="K597" s="103">
        <f t="shared" si="48"/>
        <v>8760.3799999999992</v>
      </c>
      <c r="L597" s="24" t="s">
        <v>286</v>
      </c>
      <c r="M597" s="8"/>
      <c r="N597" s="270"/>
    </row>
    <row r="598" spans="1:14" s="3" customFormat="1" ht="12.2" customHeight="1" thickTop="1" x14ac:dyDescent="0.15">
      <c r="A598" s="97" t="s">
        <v>338</v>
      </c>
      <c r="B598" s="44">
        <v>23</v>
      </c>
      <c r="C598" s="44">
        <v>8</v>
      </c>
      <c r="D598" s="39" t="s">
        <v>430</v>
      </c>
      <c r="E598" s="44"/>
      <c r="F598" s="146">
        <v>2700</v>
      </c>
      <c r="G598" s="147" t="s">
        <v>97</v>
      </c>
      <c r="H598" s="107">
        <f>SUM(H591:H597)</f>
        <v>323402.81620571425</v>
      </c>
      <c r="I598" s="107">
        <f>SUM(I591:I597)</f>
        <v>0</v>
      </c>
      <c r="J598" s="107">
        <f>SUM(J591:J597)</f>
        <v>175273.78379428573</v>
      </c>
      <c r="K598" s="107">
        <f>SUM(K591:K597)</f>
        <v>498676.60000000003</v>
      </c>
      <c r="L598" s="24" t="s">
        <v>286</v>
      </c>
      <c r="M598" s="8"/>
      <c r="N598" s="270"/>
    </row>
    <row r="599" spans="1:14" s="3" customFormat="1" ht="12.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70"/>
    </row>
    <row r="600" spans="1:14" s="3" customFormat="1" ht="12.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70"/>
    </row>
    <row r="601" spans="1:14" s="3" customFormat="1" ht="12.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70"/>
    </row>
    <row r="602" spans="1:14" s="3" customFormat="1" ht="12.2" customHeight="1" x14ac:dyDescent="0.15">
      <c r="A602" s="22" t="s">
        <v>640</v>
      </c>
      <c r="B602" s="104">
        <v>23</v>
      </c>
      <c r="C602" s="104">
        <v>9</v>
      </c>
      <c r="D602" s="2" t="s">
        <v>430</v>
      </c>
      <c r="E602" s="104"/>
      <c r="F602" s="102" t="s">
        <v>474</v>
      </c>
      <c r="G602" s="101">
        <v>710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286</v>
      </c>
      <c r="M602" s="8"/>
      <c r="N602" s="270"/>
    </row>
    <row r="603" spans="1:14" s="3" customFormat="1" ht="12.2" customHeight="1" x14ac:dyDescent="0.15">
      <c r="A603" s="22" t="s">
        <v>641</v>
      </c>
      <c r="B603" s="104">
        <v>23</v>
      </c>
      <c r="C603" s="104">
        <v>10</v>
      </c>
      <c r="D603" s="2" t="s">
        <v>430</v>
      </c>
      <c r="E603" s="104"/>
      <c r="F603" s="102" t="s">
        <v>474</v>
      </c>
      <c r="G603" s="101">
        <v>720</v>
      </c>
      <c r="H603" s="18">
        <v>0</v>
      </c>
      <c r="I603" s="18">
        <v>0</v>
      </c>
      <c r="J603" s="18">
        <v>0</v>
      </c>
      <c r="K603" s="103">
        <f>SUM(H603:J603)</f>
        <v>0</v>
      </c>
      <c r="L603" s="24" t="s">
        <v>286</v>
      </c>
      <c r="M603" s="8"/>
      <c r="N603" s="270"/>
    </row>
    <row r="604" spans="1:14" s="3" customFormat="1" ht="12.2" customHeight="1" thickBot="1" x14ac:dyDescent="0.2">
      <c r="A604" s="22" t="s">
        <v>642</v>
      </c>
      <c r="B604" s="104">
        <v>23</v>
      </c>
      <c r="C604" s="104">
        <v>11</v>
      </c>
      <c r="D604" s="2" t="s">
        <v>430</v>
      </c>
      <c r="E604" s="104"/>
      <c r="F604" s="102" t="s">
        <v>474</v>
      </c>
      <c r="G604" s="101">
        <v>730</v>
      </c>
      <c r="H604" s="18">
        <f>J211+J247+J352</f>
        <v>167912.7</v>
      </c>
      <c r="I604" s="18">
        <v>0</v>
      </c>
      <c r="J604" s="18">
        <v>0</v>
      </c>
      <c r="K604" s="103">
        <f>SUM(H604:J604)</f>
        <v>167912.7</v>
      </c>
      <c r="L604" s="24" t="s">
        <v>286</v>
      </c>
      <c r="M604" s="8"/>
      <c r="N604" s="270"/>
    </row>
    <row r="605" spans="1:14" s="3" customFormat="1" ht="12.2" customHeight="1" thickTop="1" x14ac:dyDescent="0.15">
      <c r="A605" s="97" t="s">
        <v>338</v>
      </c>
      <c r="B605" s="44">
        <v>23</v>
      </c>
      <c r="C605" s="44">
        <v>12</v>
      </c>
      <c r="D605" s="39" t="s">
        <v>430</v>
      </c>
      <c r="E605" s="44"/>
      <c r="F605" s="147" t="s">
        <v>474</v>
      </c>
      <c r="G605" s="146">
        <v>700</v>
      </c>
      <c r="H605" s="107">
        <f>SUM(H602:H604)</f>
        <v>167912.7</v>
      </c>
      <c r="I605" s="107">
        <f>SUM(I602:I604)</f>
        <v>0</v>
      </c>
      <c r="J605" s="107">
        <f>SUM(J602:J604)</f>
        <v>0</v>
      </c>
      <c r="K605" s="107">
        <f>SUM(K602:K604)</f>
        <v>167912.7</v>
      </c>
      <c r="L605" s="24" t="s">
        <v>286</v>
      </c>
      <c r="M605" s="8"/>
      <c r="N605" s="270"/>
    </row>
    <row r="606" spans="1:14" s="3" customFormat="1" ht="12.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70"/>
    </row>
    <row r="607" spans="1:14" s="3" customFormat="1" ht="12.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70"/>
    </row>
    <row r="608" spans="1:14" s="3" customFormat="1" ht="12.2" customHeight="1" x14ac:dyDescent="0.15">
      <c r="A608" s="95" t="s">
        <v>579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70"/>
    </row>
    <row r="609" spans="1:14" s="3" customFormat="1" ht="12.2" customHeight="1" x14ac:dyDescent="0.15">
      <c r="B609" s="104"/>
      <c r="C609" s="104"/>
      <c r="D609" s="104"/>
      <c r="E609" s="104"/>
      <c r="F609" s="175" t="s">
        <v>687</v>
      </c>
      <c r="G609" s="175" t="s">
        <v>688</v>
      </c>
      <c r="H609" s="175" t="s">
        <v>689</v>
      </c>
      <c r="I609" s="175" t="s">
        <v>690</v>
      </c>
      <c r="J609" s="175" t="s">
        <v>691</v>
      </c>
      <c r="K609" s="175" t="s">
        <v>692</v>
      </c>
      <c r="L609" s="87"/>
      <c r="M609" s="8"/>
      <c r="N609" s="270"/>
    </row>
    <row r="610" spans="1:14" s="3" customFormat="1" ht="12.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70"/>
    </row>
    <row r="611" spans="1:14" s="3" customFormat="1" ht="12.2" customHeight="1" x14ac:dyDescent="0.15">
      <c r="A611" s="22" t="s">
        <v>631</v>
      </c>
      <c r="B611" s="74">
        <v>23</v>
      </c>
      <c r="C611" s="74">
        <v>13</v>
      </c>
      <c r="D611" s="2" t="s">
        <v>430</v>
      </c>
      <c r="E611" s="74"/>
      <c r="F611" s="18">
        <v>628173.0344228571</v>
      </c>
      <c r="G611" s="18">
        <v>223525.86185142861</v>
      </c>
      <c r="H611" s="18">
        <v>0</v>
      </c>
      <c r="I611" s="18">
        <v>4935.7367542857146</v>
      </c>
      <c r="J611" s="18">
        <v>0</v>
      </c>
      <c r="K611" s="18">
        <v>0</v>
      </c>
      <c r="L611" s="87">
        <f>SUM(F611:K611)</f>
        <v>856634.63302857149</v>
      </c>
      <c r="M611" s="8"/>
      <c r="N611" s="270"/>
    </row>
    <row r="612" spans="1:14" s="3" customFormat="1" ht="12.2" customHeight="1" x14ac:dyDescent="0.15">
      <c r="A612" s="22" t="s">
        <v>632</v>
      </c>
      <c r="B612" s="74">
        <v>23</v>
      </c>
      <c r="C612" s="74">
        <v>14</v>
      </c>
      <c r="D612" s="2" t="s">
        <v>430</v>
      </c>
      <c r="E612" s="74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7">
        <f>SUM(F612:K612)</f>
        <v>0</v>
      </c>
      <c r="M612" s="8"/>
      <c r="N612" s="270"/>
    </row>
    <row r="613" spans="1:14" s="3" customFormat="1" ht="12.2" customHeight="1" thickBot="1" x14ac:dyDescent="0.2">
      <c r="A613" s="22" t="s">
        <v>643</v>
      </c>
      <c r="B613" s="74">
        <v>23</v>
      </c>
      <c r="C613" s="74">
        <v>15</v>
      </c>
      <c r="D613" s="2" t="s">
        <v>430</v>
      </c>
      <c r="E613" s="74"/>
      <c r="F613" s="18">
        <v>99684.165577142849</v>
      </c>
      <c r="G613" s="18">
        <v>78423.928148571416</v>
      </c>
      <c r="H613" s="18">
        <v>0</v>
      </c>
      <c r="I613" s="18">
        <v>886.3132457142857</v>
      </c>
      <c r="J613" s="18">
        <v>0</v>
      </c>
      <c r="K613" s="18">
        <v>0</v>
      </c>
      <c r="L613" s="87">
        <f>SUM(F613:K613)</f>
        <v>178994.40697142854</v>
      </c>
      <c r="M613" s="8"/>
      <c r="N613" s="270"/>
    </row>
    <row r="614" spans="1:14" s="3" customFormat="1" ht="12.2" customHeight="1" thickTop="1" x14ac:dyDescent="0.15">
      <c r="A614" s="97" t="s">
        <v>338</v>
      </c>
      <c r="B614" s="106">
        <v>23</v>
      </c>
      <c r="C614" s="106">
        <v>16</v>
      </c>
      <c r="D614" s="39" t="s">
        <v>430</v>
      </c>
      <c r="E614" s="106"/>
      <c r="F614" s="107">
        <f t="shared" ref="F614:L614" si="49">SUM(F611:F613)</f>
        <v>727857.2</v>
      </c>
      <c r="G614" s="107">
        <f t="shared" si="49"/>
        <v>301949.79000000004</v>
      </c>
      <c r="H614" s="107">
        <f t="shared" si="49"/>
        <v>0</v>
      </c>
      <c r="I614" s="107">
        <f t="shared" si="49"/>
        <v>5822.05</v>
      </c>
      <c r="J614" s="107">
        <f t="shared" si="49"/>
        <v>0</v>
      </c>
      <c r="K614" s="107">
        <f t="shared" si="49"/>
        <v>0</v>
      </c>
      <c r="L614" s="88">
        <f t="shared" si="49"/>
        <v>1035629.04</v>
      </c>
      <c r="M614" s="8"/>
      <c r="N614" s="270"/>
    </row>
    <row r="615" spans="1:14" s="3" customFormat="1" ht="12.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.2" customHeight="1" x14ac:dyDescent="0.15">
      <c r="A616" s="96"/>
      <c r="B616" s="104"/>
      <c r="C616" s="104"/>
      <c r="D616" s="104"/>
      <c r="E616" s="104"/>
      <c r="F616" s="148" t="s">
        <v>53</v>
      </c>
      <c r="G616" s="149"/>
      <c r="H616" s="149"/>
      <c r="I616" s="148" t="s">
        <v>53</v>
      </c>
      <c r="J616" s="108"/>
      <c r="K616" s="108"/>
      <c r="L616" s="108"/>
      <c r="M616" s="8"/>
    </row>
    <row r="617" spans="1:14" s="3" customFormat="1" ht="12.2" customHeight="1" x14ac:dyDescent="0.15">
      <c r="A617" s="96" t="s">
        <v>99</v>
      </c>
      <c r="B617" s="104"/>
      <c r="C617" s="104"/>
      <c r="D617" s="104"/>
      <c r="E617" s="104"/>
      <c r="F617" s="120" t="s">
        <v>681</v>
      </c>
      <c r="G617" s="108">
        <f>SUM(F19)</f>
        <v>2922834.04</v>
      </c>
      <c r="H617" s="108">
        <f>SUM(F52)</f>
        <v>2922834.04</v>
      </c>
      <c r="I617" s="120" t="s">
        <v>885</v>
      </c>
      <c r="J617" s="108">
        <f>G617-H617</f>
        <v>0</v>
      </c>
      <c r="K617" s="108"/>
      <c r="L617" s="108"/>
      <c r="M617" s="8"/>
    </row>
    <row r="618" spans="1:14" s="3" customFormat="1" ht="12.2" customHeight="1" x14ac:dyDescent="0.15">
      <c r="A618" s="96" t="s">
        <v>100</v>
      </c>
      <c r="B618" s="104"/>
      <c r="C618" s="104"/>
      <c r="D618" s="104"/>
      <c r="E618" s="104"/>
      <c r="F618" s="120" t="s">
        <v>682</v>
      </c>
      <c r="G618" s="108">
        <f>SUM(G19)</f>
        <v>3757.08</v>
      </c>
      <c r="H618" s="108">
        <f>SUM(G52)</f>
        <v>3757.08</v>
      </c>
      <c r="I618" s="120" t="s">
        <v>886</v>
      </c>
      <c r="J618" s="108">
        <f>G618-H618</f>
        <v>0</v>
      </c>
      <c r="K618" s="108"/>
      <c r="L618" s="108"/>
      <c r="M618" s="8"/>
    </row>
    <row r="619" spans="1:14" s="3" customFormat="1" ht="12.2" customHeight="1" x14ac:dyDescent="0.15">
      <c r="A619" s="96"/>
      <c r="B619" s="104"/>
      <c r="C619" s="104"/>
      <c r="D619" s="104"/>
      <c r="E619" s="104"/>
      <c r="F619" s="120" t="s">
        <v>683</v>
      </c>
      <c r="G619" s="108">
        <f>SUM(H19)</f>
        <v>32166.97</v>
      </c>
      <c r="H619" s="108">
        <f>SUM(H52)</f>
        <v>32166.97</v>
      </c>
      <c r="I619" s="120" t="s">
        <v>887</v>
      </c>
      <c r="J619" s="108">
        <f>G619-H619</f>
        <v>0</v>
      </c>
      <c r="K619" s="108"/>
      <c r="L619" s="108"/>
      <c r="M619" s="8"/>
    </row>
    <row r="620" spans="1:14" s="3" customFormat="1" ht="12.2" customHeight="1" x14ac:dyDescent="0.15">
      <c r="A620" s="96"/>
      <c r="B620" s="104"/>
      <c r="C620" s="104"/>
      <c r="D620" s="104"/>
      <c r="E620" s="104"/>
      <c r="F620" s="120" t="s">
        <v>684</v>
      </c>
      <c r="G620" s="108">
        <f>SUM(I19)</f>
        <v>0</v>
      </c>
      <c r="H620" s="108">
        <f>SUM(I52)</f>
        <v>0</v>
      </c>
      <c r="I620" s="120" t="s">
        <v>888</v>
      </c>
      <c r="J620" s="108">
        <f>G620-H620</f>
        <v>0</v>
      </c>
      <c r="K620" s="108"/>
      <c r="L620" s="108"/>
      <c r="M620" s="8"/>
    </row>
    <row r="621" spans="1:14" s="3" customFormat="1" ht="12.2" customHeight="1" x14ac:dyDescent="0.15">
      <c r="A621" s="96"/>
      <c r="B621" s="104"/>
      <c r="C621" s="104"/>
      <c r="D621" s="104"/>
      <c r="E621" s="104"/>
      <c r="F621" s="120" t="s">
        <v>685</v>
      </c>
      <c r="G621" s="108">
        <f>SUM(J19)</f>
        <v>1565886.9999999995</v>
      </c>
      <c r="H621" s="108">
        <f>SUM(J52)</f>
        <v>1565887</v>
      </c>
      <c r="I621" s="120" t="s">
        <v>889</v>
      </c>
      <c r="J621" s="108">
        <f>G621-H621</f>
        <v>0</v>
      </c>
      <c r="K621" s="108"/>
      <c r="L621" s="108"/>
      <c r="M621" s="8"/>
    </row>
    <row r="622" spans="1:14" s="3" customFormat="1" ht="12.2" customHeight="1" x14ac:dyDescent="0.15">
      <c r="A622" s="96"/>
      <c r="B622" s="104"/>
      <c r="C622" s="104"/>
      <c r="D622" s="104"/>
      <c r="E622" s="104"/>
      <c r="F622" s="120" t="s">
        <v>875</v>
      </c>
      <c r="G622" s="108">
        <f>F51</f>
        <v>1854780.49</v>
      </c>
      <c r="H622" s="108">
        <f>F476</f>
        <v>1854780.4900000002</v>
      </c>
      <c r="I622" s="120" t="s">
        <v>101</v>
      </c>
      <c r="J622" s="108">
        <f t="shared" ref="J622:J655" si="50">G622-H622</f>
        <v>0</v>
      </c>
      <c r="K622" s="108"/>
      <c r="L622" s="108"/>
      <c r="M622" s="8"/>
    </row>
    <row r="623" spans="1:14" s="3" customFormat="1" ht="12.2" customHeight="1" x14ac:dyDescent="0.15">
      <c r="A623" s="96"/>
      <c r="B623" s="104"/>
      <c r="C623" s="118"/>
      <c r="D623" s="118"/>
      <c r="E623" s="118"/>
      <c r="F623" s="118" t="s">
        <v>876</v>
      </c>
      <c r="G623" s="108">
        <f>G51</f>
        <v>0</v>
      </c>
      <c r="H623" s="108">
        <f>G476</f>
        <v>0</v>
      </c>
      <c r="I623" s="120" t="s">
        <v>102</v>
      </c>
      <c r="J623" s="108">
        <f t="shared" si="50"/>
        <v>0</v>
      </c>
      <c r="K623" s="108"/>
      <c r="L623" s="108"/>
      <c r="M623" s="8"/>
    </row>
    <row r="624" spans="1:14" s="3" customFormat="1" ht="12.2" customHeight="1" x14ac:dyDescent="0.15">
      <c r="A624" s="96"/>
      <c r="B624" s="104"/>
      <c r="C624" s="104"/>
      <c r="D624" s="104"/>
      <c r="E624" s="104"/>
      <c r="F624" s="119" t="s">
        <v>877</v>
      </c>
      <c r="G624" s="108">
        <f>H51</f>
        <v>0</v>
      </c>
      <c r="H624" s="108">
        <f>H476</f>
        <v>0</v>
      </c>
      <c r="I624" s="120" t="s">
        <v>103</v>
      </c>
      <c r="J624" s="108">
        <f t="shared" si="50"/>
        <v>0</v>
      </c>
      <c r="K624" s="108"/>
      <c r="L624" s="108"/>
      <c r="M624" s="8"/>
    </row>
    <row r="625" spans="1:13" s="3" customFormat="1" ht="12.2" customHeight="1" x14ac:dyDescent="0.15">
      <c r="A625" s="96"/>
      <c r="B625" s="104"/>
      <c r="C625" s="104"/>
      <c r="D625" s="104"/>
      <c r="E625" s="104"/>
      <c r="F625" s="119" t="s">
        <v>878</v>
      </c>
      <c r="G625" s="108">
        <f>I51</f>
        <v>0</v>
      </c>
      <c r="H625" s="108">
        <f>I476</f>
        <v>0</v>
      </c>
      <c r="I625" s="120" t="s">
        <v>104</v>
      </c>
      <c r="J625" s="108">
        <f t="shared" si="50"/>
        <v>0</v>
      </c>
      <c r="K625" s="108"/>
      <c r="L625" s="108"/>
      <c r="M625" s="8"/>
    </row>
    <row r="626" spans="1:13" s="3" customFormat="1" ht="12.2" customHeight="1" x14ac:dyDescent="0.15">
      <c r="A626" s="22"/>
      <c r="B626" s="104"/>
      <c r="C626" s="104"/>
      <c r="D626" s="104"/>
      <c r="E626" s="104"/>
      <c r="F626" s="119" t="s">
        <v>879</v>
      </c>
      <c r="G626" s="108">
        <f>J51</f>
        <v>1546619</v>
      </c>
      <c r="H626" s="108">
        <f>J476</f>
        <v>1546619</v>
      </c>
      <c r="I626" s="139" t="s">
        <v>105</v>
      </c>
      <c r="J626" s="108">
        <f t="shared" si="50"/>
        <v>0</v>
      </c>
      <c r="K626" s="84"/>
      <c r="L626" s="87"/>
      <c r="M626" s="8"/>
    </row>
    <row r="627" spans="1:13" s="3" customFormat="1" ht="12.2" customHeight="1" x14ac:dyDescent="0.15">
      <c r="A627" s="22"/>
      <c r="B627" s="104"/>
      <c r="C627" s="104"/>
      <c r="D627" s="104"/>
      <c r="E627" s="104"/>
      <c r="F627" s="119" t="s">
        <v>656</v>
      </c>
      <c r="G627" s="108">
        <f>F193</f>
        <v>14392468</v>
      </c>
      <c r="H627" s="103">
        <f>SUM(F468)</f>
        <v>14392468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.2" customHeight="1" x14ac:dyDescent="0.15">
      <c r="A628" s="22"/>
      <c r="B628" s="104"/>
      <c r="C628" s="104"/>
      <c r="D628" s="104"/>
      <c r="E628" s="104"/>
      <c r="F628" s="119" t="s">
        <v>657</v>
      </c>
      <c r="G628" s="108">
        <f>G193</f>
        <v>541196.6</v>
      </c>
      <c r="H628" s="103">
        <f>SUM(G468)</f>
        <v>541196.6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.2" customHeight="1" x14ac:dyDescent="0.15">
      <c r="A629" s="22"/>
      <c r="B629" s="104"/>
      <c r="C629" s="104"/>
      <c r="D629" s="104"/>
      <c r="E629" s="104"/>
      <c r="F629" s="119" t="s">
        <v>658</v>
      </c>
      <c r="G629" s="108">
        <f>H193</f>
        <v>1164819.2000000002</v>
      </c>
      <c r="H629" s="103">
        <f>SUM(H468)</f>
        <v>1164819.2000000002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.2" customHeight="1" x14ac:dyDescent="0.15">
      <c r="A630" s="22"/>
      <c r="B630" s="104"/>
      <c r="C630" s="104"/>
      <c r="D630" s="104"/>
      <c r="E630" s="104"/>
      <c r="F630" s="119" t="s">
        <v>659</v>
      </c>
      <c r="G630" s="108">
        <f>I193</f>
        <v>0</v>
      </c>
      <c r="H630" s="103">
        <f>SUM(I468)</f>
        <v>0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.2" customHeight="1" x14ac:dyDescent="0.15">
      <c r="A631" s="22"/>
      <c r="B631" s="104"/>
      <c r="C631" s="104"/>
      <c r="D631" s="104"/>
      <c r="E631" s="104"/>
      <c r="F631" s="119" t="s">
        <v>660</v>
      </c>
      <c r="G631" s="108">
        <f>J193</f>
        <v>106836</v>
      </c>
      <c r="H631" s="103">
        <f>SUM(J468)</f>
        <v>106836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.2" customHeight="1" x14ac:dyDescent="0.15">
      <c r="A632" s="22"/>
      <c r="B632" s="104"/>
      <c r="C632" s="104"/>
      <c r="D632" s="104"/>
      <c r="E632" s="104"/>
      <c r="F632" s="119" t="s">
        <v>392</v>
      </c>
      <c r="G632" s="108">
        <f>SUM(L271)</f>
        <v>14269270.35</v>
      </c>
      <c r="H632" s="103">
        <f>SUM(F472)</f>
        <v>14269270.35</v>
      </c>
      <c r="I632" s="139" t="s">
        <v>111</v>
      </c>
      <c r="J632" s="108">
        <f t="shared" si="50"/>
        <v>0</v>
      </c>
      <c r="K632" s="84"/>
      <c r="L632" s="87"/>
      <c r="M632" s="8"/>
    </row>
    <row r="633" spans="1:13" s="3" customFormat="1" ht="12.2" customHeight="1" x14ac:dyDescent="0.15">
      <c r="A633" s="22"/>
      <c r="B633" s="104"/>
      <c r="C633" s="104"/>
      <c r="D633" s="104"/>
      <c r="E633" s="104"/>
      <c r="F633" s="119" t="s">
        <v>393</v>
      </c>
      <c r="G633" s="108">
        <f>SUM(L352)</f>
        <v>1164819.2</v>
      </c>
      <c r="H633" s="103">
        <f>SUM(H472)</f>
        <v>1164819.2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.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33097.760000000002</v>
      </c>
      <c r="H634" s="103">
        <f>I369</f>
        <v>33097.760000000002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7" customFormat="1" ht="12.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493444.39</v>
      </c>
      <c r="H635" s="103">
        <f>SUM(G472)</f>
        <v>493444.39</v>
      </c>
      <c r="I635" s="139" t="s">
        <v>114</v>
      </c>
      <c r="J635" s="108">
        <f t="shared" si="50"/>
        <v>0</v>
      </c>
      <c r="K635" s="84"/>
      <c r="L635" s="87"/>
      <c r="M635" s="166"/>
    </row>
    <row r="636" spans="1:13" s="167" customFormat="1" ht="12.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0</v>
      </c>
      <c r="H636" s="103">
        <f>SUM(I472)</f>
        <v>0</v>
      </c>
      <c r="I636" s="139" t="s">
        <v>116</v>
      </c>
      <c r="J636" s="108">
        <f t="shared" si="50"/>
        <v>0</v>
      </c>
      <c r="K636" s="84"/>
      <c r="L636" s="87"/>
      <c r="M636" s="166"/>
    </row>
    <row r="637" spans="1:13" s="3" customFormat="1" ht="12.2" customHeight="1" x14ac:dyDescent="0.15">
      <c r="A637" s="159"/>
      <c r="B637" s="160"/>
      <c r="C637" s="160"/>
      <c r="D637" s="160"/>
      <c r="E637" s="160"/>
      <c r="F637" s="161" t="s">
        <v>475</v>
      </c>
      <c r="G637" s="149">
        <f>SUM(L408)</f>
        <v>106836</v>
      </c>
      <c r="H637" s="162">
        <f>SUM(J468)</f>
        <v>106836</v>
      </c>
      <c r="I637" s="163" t="s">
        <v>110</v>
      </c>
      <c r="J637" s="149">
        <f t="shared" si="50"/>
        <v>0</v>
      </c>
      <c r="K637" s="164"/>
      <c r="L637" s="165"/>
      <c r="M637" s="8"/>
    </row>
    <row r="638" spans="1:13" s="3" customFormat="1" ht="12.2" customHeight="1" x14ac:dyDescent="0.15">
      <c r="A638" s="159"/>
      <c r="B638" s="160"/>
      <c r="C638" s="160"/>
      <c r="D638" s="160"/>
      <c r="E638" s="160"/>
      <c r="F638" s="161" t="s">
        <v>476</v>
      </c>
      <c r="G638" s="149">
        <f>SUM(L434)</f>
        <v>108855</v>
      </c>
      <c r="H638" s="162">
        <f>SUM(J472)</f>
        <v>108855</v>
      </c>
      <c r="I638" s="163" t="s">
        <v>117</v>
      </c>
      <c r="J638" s="149">
        <f t="shared" si="50"/>
        <v>0</v>
      </c>
      <c r="K638" s="164"/>
      <c r="L638" s="165"/>
      <c r="M638" s="8"/>
    </row>
    <row r="639" spans="1:13" s="3" customFormat="1" ht="12.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1565886.9999999995</v>
      </c>
      <c r="H639" s="103">
        <f>SUM(F461)</f>
        <v>1565887</v>
      </c>
      <c r="I639" s="139" t="s">
        <v>851</v>
      </c>
      <c r="J639" s="108">
        <f t="shared" si="50"/>
        <v>0</v>
      </c>
      <c r="K639" s="84"/>
      <c r="L639" s="87"/>
      <c r="M639" s="8"/>
    </row>
    <row r="640" spans="1:13" s="3" customFormat="1" ht="12.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0</v>
      </c>
      <c r="H640" s="103">
        <f>SUM(G461)</f>
        <v>0</v>
      </c>
      <c r="I640" s="139" t="s">
        <v>852</v>
      </c>
      <c r="J640" s="108">
        <f t="shared" si="50"/>
        <v>0</v>
      </c>
      <c r="K640" s="84"/>
      <c r="L640" s="87"/>
      <c r="M640" s="8"/>
    </row>
    <row r="641" spans="1:13" s="3" customFormat="1" ht="12.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0</v>
      </c>
      <c r="H641" s="103">
        <f>SUM(H461)</f>
        <v>0</v>
      </c>
      <c r="I641" s="139" t="s">
        <v>853</v>
      </c>
      <c r="J641" s="108">
        <f t="shared" si="50"/>
        <v>0</v>
      </c>
      <c r="K641" s="84"/>
      <c r="L641" s="87"/>
      <c r="M641" s="8"/>
    </row>
    <row r="642" spans="1:13" s="3" customFormat="1" ht="12.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1565886.9999999995</v>
      </c>
      <c r="H642" s="103">
        <f>SUM(I461)</f>
        <v>1565887</v>
      </c>
      <c r="I642" s="139" t="s">
        <v>854</v>
      </c>
      <c r="J642" s="108">
        <f t="shared" si="50"/>
        <v>0</v>
      </c>
      <c r="K642" s="84"/>
      <c r="L642" s="87"/>
      <c r="M642" s="8"/>
    </row>
    <row r="643" spans="1:13" s="3" customFormat="1" ht="12.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477</v>
      </c>
      <c r="J643" s="108">
        <f t="shared" si="50"/>
        <v>0</v>
      </c>
      <c r="K643" s="84"/>
      <c r="L643" s="87"/>
      <c r="M643" s="8"/>
    </row>
    <row r="644" spans="1:13" s="3" customFormat="1" ht="12.2" customHeight="1" x14ac:dyDescent="0.15">
      <c r="A644" s="22"/>
      <c r="B644" s="104"/>
      <c r="C644" s="104"/>
      <c r="D644" s="104"/>
      <c r="E644" s="104"/>
      <c r="F644" s="119" t="s">
        <v>661</v>
      </c>
      <c r="G644" s="108">
        <f>J96</f>
        <v>6836</v>
      </c>
      <c r="H644" s="103">
        <f>H408</f>
        <v>6836</v>
      </c>
      <c r="I644" s="139" t="s">
        <v>478</v>
      </c>
      <c r="J644" s="108">
        <f t="shared" si="50"/>
        <v>0</v>
      </c>
      <c r="K644" s="84"/>
      <c r="L644" s="87"/>
      <c r="M644" s="8"/>
    </row>
    <row r="645" spans="1:13" s="3" customFormat="1" ht="12.2" customHeight="1" x14ac:dyDescent="0.15">
      <c r="A645" s="22"/>
      <c r="B645" s="104"/>
      <c r="C645" s="104"/>
      <c r="D645" s="104"/>
      <c r="E645" s="104"/>
      <c r="F645" s="119" t="s">
        <v>662</v>
      </c>
      <c r="G645" s="108">
        <f>J183</f>
        <v>100000</v>
      </c>
      <c r="H645" s="103">
        <f>G408</f>
        <v>100000</v>
      </c>
      <c r="I645" s="139" t="s">
        <v>479</v>
      </c>
      <c r="J645" s="108">
        <f t="shared" si="50"/>
        <v>0</v>
      </c>
      <c r="K645" s="84"/>
      <c r="L645" s="87"/>
      <c r="M645" s="8"/>
    </row>
    <row r="646" spans="1:13" s="3" customFormat="1" ht="12.2" customHeight="1" x14ac:dyDescent="0.15">
      <c r="A646" s="22"/>
      <c r="B646" s="104"/>
      <c r="C646" s="104"/>
      <c r="D646" s="104"/>
      <c r="E646" s="104"/>
      <c r="F646" s="119" t="s">
        <v>660</v>
      </c>
      <c r="G646" s="108">
        <f>J193</f>
        <v>106836</v>
      </c>
      <c r="H646" s="103">
        <f>L408</f>
        <v>106836</v>
      </c>
      <c r="I646" s="139" t="s">
        <v>475</v>
      </c>
      <c r="J646" s="108">
        <f t="shared" si="50"/>
        <v>0</v>
      </c>
      <c r="K646" s="84"/>
      <c r="L646" s="87"/>
      <c r="M646" s="8"/>
    </row>
    <row r="647" spans="1:13" s="3" customFormat="1" ht="12.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498676.60000000003</v>
      </c>
      <c r="H647" s="103">
        <f>L208+L226+L244</f>
        <v>498676.60000000003</v>
      </c>
      <c r="I647" s="139" t="s">
        <v>394</v>
      </c>
      <c r="J647" s="108">
        <f t="shared" si="50"/>
        <v>0</v>
      </c>
      <c r="K647" s="84"/>
      <c r="L647" s="87"/>
      <c r="M647" s="8"/>
    </row>
    <row r="648" spans="1:13" s="3" customFormat="1" ht="12.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167912.7</v>
      </c>
      <c r="H648" s="103">
        <f>(J257+J338)-(J255+J336)</f>
        <v>167912.7</v>
      </c>
      <c r="I648" s="139" t="s">
        <v>697</v>
      </c>
      <c r="J648" s="108">
        <f t="shared" si="50"/>
        <v>0</v>
      </c>
      <c r="K648" s="84"/>
      <c r="L648" s="87"/>
      <c r="M648" s="8"/>
    </row>
    <row r="649" spans="1:13" s="3" customFormat="1" ht="12.2" customHeight="1" x14ac:dyDescent="0.15">
      <c r="A649" s="22"/>
      <c r="B649" s="104"/>
      <c r="C649" s="104"/>
      <c r="D649" s="104"/>
      <c r="E649" s="104"/>
      <c r="F649" s="119" t="s">
        <v>385</v>
      </c>
      <c r="G649" s="108">
        <f>L208</f>
        <v>323402.81620571431</v>
      </c>
      <c r="H649" s="103">
        <f>H598</f>
        <v>323402.81620571425</v>
      </c>
      <c r="I649" s="139" t="s">
        <v>386</v>
      </c>
      <c r="J649" s="108">
        <f t="shared" si="50"/>
        <v>0</v>
      </c>
      <c r="K649" s="84"/>
      <c r="L649" s="87"/>
      <c r="M649" s="8"/>
    </row>
    <row r="650" spans="1:13" s="3" customFormat="1" ht="12.2" customHeight="1" x14ac:dyDescent="0.15">
      <c r="A650" s="22"/>
      <c r="B650" s="104"/>
      <c r="C650" s="104"/>
      <c r="D650" s="104"/>
      <c r="E650" s="104"/>
      <c r="F650" s="119" t="s">
        <v>390</v>
      </c>
      <c r="G650" s="108">
        <f>L226</f>
        <v>0</v>
      </c>
      <c r="H650" s="103">
        <f>I598</f>
        <v>0</v>
      </c>
      <c r="I650" s="139" t="s">
        <v>387</v>
      </c>
      <c r="J650" s="108">
        <f t="shared" si="50"/>
        <v>0</v>
      </c>
      <c r="K650" s="84"/>
      <c r="L650" s="87"/>
      <c r="M650" s="8"/>
    </row>
    <row r="651" spans="1:13" s="3" customFormat="1" ht="12.2" customHeight="1" x14ac:dyDescent="0.15">
      <c r="A651" s="22"/>
      <c r="B651" s="104"/>
      <c r="C651" s="104"/>
      <c r="D651" s="104"/>
      <c r="E651" s="104"/>
      <c r="F651" s="119" t="s">
        <v>391</v>
      </c>
      <c r="G651" s="108">
        <f>L244</f>
        <v>175273.78379428573</v>
      </c>
      <c r="H651" s="103">
        <f>J598</f>
        <v>175273.78379428573</v>
      </c>
      <c r="I651" s="139" t="s">
        <v>388</v>
      </c>
      <c r="J651" s="108">
        <f t="shared" si="50"/>
        <v>0</v>
      </c>
      <c r="K651" s="84"/>
      <c r="L651" s="87"/>
      <c r="M651" s="8"/>
    </row>
    <row r="652" spans="1:13" s="3" customFormat="1" ht="12.2" customHeight="1" x14ac:dyDescent="0.15">
      <c r="A652" s="22"/>
      <c r="B652" s="104"/>
      <c r="C652" s="104"/>
      <c r="D652" s="104"/>
      <c r="E652" s="104"/>
      <c r="F652" s="119" t="s">
        <v>663</v>
      </c>
      <c r="G652" s="108">
        <f>G179</f>
        <v>74454.03</v>
      </c>
      <c r="H652" s="103">
        <f>K263+K345</f>
        <v>74454.03</v>
      </c>
      <c r="I652" s="139" t="s">
        <v>395</v>
      </c>
      <c r="J652" s="108">
        <f t="shared" si="50"/>
        <v>0</v>
      </c>
      <c r="K652" s="84"/>
      <c r="L652" s="87"/>
      <c r="M652" s="8"/>
    </row>
    <row r="653" spans="1:13" s="3" customFormat="1" ht="12.2" customHeight="1" x14ac:dyDescent="0.15">
      <c r="A653" s="22"/>
      <c r="B653" s="104"/>
      <c r="C653" s="104"/>
      <c r="D653" s="104"/>
      <c r="E653" s="104"/>
      <c r="F653" s="119" t="s">
        <v>664</v>
      </c>
      <c r="G653" s="108">
        <f>H179</f>
        <v>0</v>
      </c>
      <c r="H653" s="103">
        <f>K264</f>
        <v>0</v>
      </c>
      <c r="I653" s="139" t="s">
        <v>396</v>
      </c>
      <c r="J653" s="108">
        <f t="shared" si="50"/>
        <v>0</v>
      </c>
      <c r="K653" s="84"/>
      <c r="L653" s="87"/>
      <c r="M653" s="8"/>
    </row>
    <row r="654" spans="1:13" s="3" customFormat="1" ht="12.2" customHeight="1" x14ac:dyDescent="0.15">
      <c r="A654" s="22"/>
      <c r="B654" s="104"/>
      <c r="C654" s="104"/>
      <c r="D654" s="104"/>
      <c r="E654" s="104"/>
      <c r="F654" s="119" t="s">
        <v>665</v>
      </c>
      <c r="G654" s="108">
        <f>I179</f>
        <v>0</v>
      </c>
      <c r="H654" s="103">
        <f>K265+K346</f>
        <v>0</v>
      </c>
      <c r="I654" s="139" t="s">
        <v>397</v>
      </c>
      <c r="J654" s="108">
        <f t="shared" si="50"/>
        <v>0</v>
      </c>
      <c r="K654" s="84"/>
      <c r="L654" s="87"/>
      <c r="M654" s="8"/>
    </row>
    <row r="655" spans="1:13" s="3" customFormat="1" ht="12.2" customHeight="1" x14ac:dyDescent="0.15">
      <c r="A655" s="22"/>
      <c r="B655" s="104"/>
      <c r="C655" s="104"/>
      <c r="D655" s="104"/>
      <c r="E655" s="104"/>
      <c r="F655" s="119" t="s">
        <v>666</v>
      </c>
      <c r="G655" s="108">
        <f>J179+J181</f>
        <v>100000</v>
      </c>
      <c r="H655" s="103">
        <f>K266+K347</f>
        <v>100000</v>
      </c>
      <c r="I655" s="139" t="s">
        <v>398</v>
      </c>
      <c r="J655" s="108">
        <f t="shared" si="50"/>
        <v>0</v>
      </c>
      <c r="K655" s="84"/>
      <c r="L655" s="87"/>
      <c r="M655" s="8"/>
    </row>
    <row r="656" spans="1:13" s="3" customFormat="1" ht="12.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2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10450751.325714286</v>
      </c>
      <c r="G660" s="19">
        <f>(L229+L309+L359)</f>
        <v>0</v>
      </c>
      <c r="H660" s="19">
        <f>(L247+L328+L360)</f>
        <v>5302328.5842857147</v>
      </c>
      <c r="I660" s="19">
        <f>SUM(F660:H660)</f>
        <v>15753079.91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124971.87665142857</v>
      </c>
      <c r="G661" s="19">
        <f>(L359/IF(SUM(L358:L360)=0,1,SUM(L358:L360))*(SUM(G97:G110)))</f>
        <v>0</v>
      </c>
      <c r="H661" s="19">
        <f>(L360/IF(SUM(L358:L360)=0,1,SUM(L358:L360))*(SUM(G97:G110)))</f>
        <v>51684.653348571424</v>
      </c>
      <c r="I661" s="19">
        <f>SUM(F661:H661)</f>
        <v>176656.53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327815.26078857144</v>
      </c>
      <c r="G662" s="19">
        <f>(L226+L306)-(J226+J306)</f>
        <v>0</v>
      </c>
      <c r="H662" s="19">
        <f>(L244+L325)-(J244+J325)</f>
        <v>177309.57921142859</v>
      </c>
      <c r="I662" s="19">
        <f>SUM(F662:H662)</f>
        <v>505124.84</v>
      </c>
      <c r="J662"/>
      <c r="K662" s="13"/>
      <c r="L662" s="13"/>
      <c r="M662" s="8"/>
    </row>
    <row r="663" spans="1:13" s="3" customFormat="1" ht="12.2" customHeight="1" x14ac:dyDescent="0.15">
      <c r="A663" s="196" t="s">
        <v>129</v>
      </c>
      <c r="B663" s="167"/>
      <c r="C663" s="167"/>
      <c r="D663" s="167"/>
      <c r="E663" s="167"/>
      <c r="F663" s="197">
        <f>SUM(F575:F587)+SUM(H602:H604)+SUM(L611)</f>
        <v>1218957.0730285714</v>
      </c>
      <c r="G663" s="197">
        <f>SUM(G575:G587)+SUM(I602:I604)+L612</f>
        <v>0</v>
      </c>
      <c r="H663" s="197">
        <f>SUM(H575:H587)+SUM(J602:J604)+L613</f>
        <v>874479.49697142851</v>
      </c>
      <c r="I663" s="19">
        <f>SUM(F663:H663)</f>
        <v>2093436.5699999998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8779007.1152457148</v>
      </c>
      <c r="G664" s="19">
        <f>G660-SUM(G661:G663)</f>
        <v>0</v>
      </c>
      <c r="H664" s="19">
        <f>H660-SUM(H661:H663)</f>
        <v>4198854.8547542859</v>
      </c>
      <c r="I664" s="19">
        <f>I660-SUM(I661:I663)</f>
        <v>12977861.970000001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5">
        <v>599.79</v>
      </c>
      <c r="G665" s="246"/>
      <c r="H665" s="246">
        <v>250.91</v>
      </c>
      <c r="I665" s="19">
        <f>SUM(F665:H665)</f>
        <v>850.69999999999993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14636.8</v>
      </c>
      <c r="G667" s="19" t="e">
        <f>ROUND(G664/G665,2)</f>
        <v>#DIV/0!</v>
      </c>
      <c r="H667" s="19">
        <f>ROUND(H664/H665,2)</f>
        <v>16734.509999999998</v>
      </c>
      <c r="I667" s="19">
        <f>ROUND(I664/I665,2)</f>
        <v>15255.51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-5.5</v>
      </c>
      <c r="I670" s="19">
        <f>SUM(F670:H670)</f>
        <v>-5.5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14636.8</v>
      </c>
      <c r="G672" s="19" t="e">
        <f>ROUND((G664+G669)/(G665+G670),2)</f>
        <v>#DIV/0!</v>
      </c>
      <c r="H672" s="19">
        <f>ROUND((H664+H669)/(H665+H670),2)</f>
        <v>17109.55</v>
      </c>
      <c r="I672" s="19">
        <f>ROUND((I664+I669)/(I665+I670),2)</f>
        <v>15354.78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22" workbookViewId="0">
      <selection activeCell="B11" sqref="B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1" t="s">
        <v>779</v>
      </c>
      <c r="B1" s="230" t="str">
        <f>'DOE25'!A2</f>
        <v>Farmington</v>
      </c>
      <c r="C1" s="236" t="s">
        <v>833</v>
      </c>
    </row>
    <row r="2" spans="1:3" x14ac:dyDescent="0.2">
      <c r="A2" s="231"/>
      <c r="B2" s="230"/>
    </row>
    <row r="3" spans="1:3" x14ac:dyDescent="0.2">
      <c r="A3" s="276" t="s">
        <v>778</v>
      </c>
      <c r="B3" s="276"/>
      <c r="C3" s="276"/>
    </row>
    <row r="4" spans="1:3" x14ac:dyDescent="0.2">
      <c r="A4" s="234"/>
      <c r="B4" s="235" t="str">
        <f>'DOE25'!H1</f>
        <v>DOE 25  2017-2018</v>
      </c>
      <c r="C4" s="234"/>
    </row>
    <row r="5" spans="1:3" x14ac:dyDescent="0.2">
      <c r="A5" s="231"/>
      <c r="B5" s="230"/>
    </row>
    <row r="6" spans="1:3" x14ac:dyDescent="0.2">
      <c r="A6" s="225"/>
      <c r="B6" s="275" t="s">
        <v>777</v>
      </c>
      <c r="C6" s="275"/>
    </row>
    <row r="7" spans="1:3" x14ac:dyDescent="0.2">
      <c r="A7" s="237" t="s">
        <v>780</v>
      </c>
      <c r="B7" s="273" t="s">
        <v>776</v>
      </c>
      <c r="C7" s="274"/>
    </row>
    <row r="8" spans="1:3" x14ac:dyDescent="0.2">
      <c r="B8" s="226" t="s">
        <v>54</v>
      </c>
      <c r="C8" s="226" t="s">
        <v>770</v>
      </c>
    </row>
    <row r="9" spans="1:3" x14ac:dyDescent="0.2">
      <c r="A9" s="33" t="s">
        <v>771</v>
      </c>
      <c r="B9" s="227">
        <f>'DOE25'!F197+'DOE25'!F215+'DOE25'!F233+'DOE25'!F276+'DOE25'!F295+'DOE25'!F314</f>
        <v>3906638.54</v>
      </c>
      <c r="C9" s="227">
        <f>'DOE25'!G197+'DOE25'!G215+'DOE25'!G233+'DOE25'!G276+'DOE25'!G295+'DOE25'!G314</f>
        <v>1752676.1599999997</v>
      </c>
    </row>
    <row r="10" spans="1:3" x14ac:dyDescent="0.2">
      <c r="A10" t="s">
        <v>773</v>
      </c>
      <c r="B10" s="238">
        <f>3534022.86+5412.35-48705.77+66321.3+60774.65</f>
        <v>3617825.3899999997</v>
      </c>
      <c r="C10" s="238">
        <f>1645842.27-7458.12+100372.52+6461.37</f>
        <v>1745218.04</v>
      </c>
    </row>
    <row r="11" spans="1:3" x14ac:dyDescent="0.2">
      <c r="A11" t="s">
        <v>774</v>
      </c>
      <c r="B11" s="238">
        <f>180485.38+59622</f>
        <v>240107.38</v>
      </c>
      <c r="C11" s="238">
        <v>0</v>
      </c>
    </row>
    <row r="12" spans="1:3" x14ac:dyDescent="0.2">
      <c r="A12" t="s">
        <v>775</v>
      </c>
      <c r="B12" s="238">
        <f>20543.31+12135+16027.46</f>
        <v>48705.770000000004</v>
      </c>
      <c r="C12" s="238">
        <f>3914.66+1859.66+1683.8</f>
        <v>7458.12</v>
      </c>
    </row>
    <row r="13" spans="1:3" x14ac:dyDescent="0.2">
      <c r="A13" t="str">
        <f>IF(B9=B13,IF(C9=C13,"Check Total OK","Check Total Error"),"Check Total Error")</f>
        <v>Check Total OK</v>
      </c>
      <c r="B13" s="229">
        <f>SUM(B10:B12)</f>
        <v>3906638.5399999996</v>
      </c>
      <c r="C13" s="229">
        <f>SUM(C10:C12)</f>
        <v>1752676.1600000001</v>
      </c>
    </row>
    <row r="14" spans="1:3" x14ac:dyDescent="0.2">
      <c r="B14" s="228"/>
      <c r="C14" s="228"/>
    </row>
    <row r="15" spans="1:3" x14ac:dyDescent="0.2">
      <c r="B15" s="275" t="s">
        <v>777</v>
      </c>
      <c r="C15" s="275"/>
    </row>
    <row r="16" spans="1:3" x14ac:dyDescent="0.2">
      <c r="A16" s="237" t="s">
        <v>781</v>
      </c>
      <c r="B16" s="273" t="s">
        <v>701</v>
      </c>
      <c r="C16" s="274"/>
    </row>
    <row r="17" spans="1:3" x14ac:dyDescent="0.2">
      <c r="B17" s="226" t="s">
        <v>54</v>
      </c>
      <c r="C17" s="226" t="s">
        <v>770</v>
      </c>
    </row>
    <row r="18" spans="1:3" x14ac:dyDescent="0.2">
      <c r="A18" s="33" t="s">
        <v>771</v>
      </c>
      <c r="B18" s="227">
        <f>'DOE25'!F198+'DOE25'!F216+'DOE25'!F234+'DOE25'!F277+'DOE25'!F296+'DOE25'!F315</f>
        <v>1611764.0399999998</v>
      </c>
      <c r="C18" s="227">
        <f>'DOE25'!G198+'DOE25'!G216+'DOE25'!G234+'DOE25'!G277+'DOE25'!G296+'DOE25'!G315</f>
        <v>495441.25999999995</v>
      </c>
    </row>
    <row r="19" spans="1:3" x14ac:dyDescent="0.2">
      <c r="A19" t="s">
        <v>773</v>
      </c>
      <c r="B19" s="238">
        <f>798459.08+800</f>
        <v>799259.08</v>
      </c>
      <c r="C19" s="238">
        <f>428282.61+3043.55+200</f>
        <v>431526.16</v>
      </c>
    </row>
    <row r="20" spans="1:3" x14ac:dyDescent="0.2">
      <c r="A20" t="s">
        <v>774</v>
      </c>
      <c r="B20" s="238">
        <f>703864.02+40134.7+44341.4</f>
        <v>788340.12</v>
      </c>
      <c r="C20" s="238">
        <f>53845.6+7925.86+300</f>
        <v>62071.46</v>
      </c>
    </row>
    <row r="21" spans="1:3" x14ac:dyDescent="0.2">
      <c r="A21" t="s">
        <v>775</v>
      </c>
      <c r="B21" s="238">
        <f>24099.84+65</f>
        <v>24164.84</v>
      </c>
      <c r="C21" s="238">
        <v>1843.64</v>
      </c>
    </row>
    <row r="22" spans="1:3" x14ac:dyDescent="0.2">
      <c r="A22" t="str">
        <f>IF(B18=B22,IF(C18=C22,"Check Total OK","Check Total Error"),"Check Total Error")</f>
        <v>Check Total OK</v>
      </c>
      <c r="B22" s="229">
        <f>SUM(B19:B21)</f>
        <v>1611764.04</v>
      </c>
      <c r="C22" s="229">
        <f>SUM(C19:C21)</f>
        <v>495441.26</v>
      </c>
    </row>
    <row r="23" spans="1:3" x14ac:dyDescent="0.2">
      <c r="B23" s="228"/>
      <c r="C23" s="228"/>
    </row>
    <row r="24" spans="1:3" x14ac:dyDescent="0.2">
      <c r="B24" s="275" t="s">
        <v>777</v>
      </c>
      <c r="C24" s="275"/>
    </row>
    <row r="25" spans="1:3" x14ac:dyDescent="0.2">
      <c r="A25" s="237" t="s">
        <v>782</v>
      </c>
      <c r="B25" s="273" t="s">
        <v>702</v>
      </c>
      <c r="C25" s="274"/>
    </row>
    <row r="26" spans="1:3" x14ac:dyDescent="0.2">
      <c r="B26" s="226" t="s">
        <v>54</v>
      </c>
      <c r="C26" s="226" t="s">
        <v>770</v>
      </c>
    </row>
    <row r="27" spans="1:3" x14ac:dyDescent="0.2">
      <c r="A27" s="33" t="s">
        <v>771</v>
      </c>
      <c r="B27" s="232">
        <f>'DOE25'!F199+'DOE25'!F217+'DOE25'!F235+'DOE25'!F278+'DOE25'!F297+'DOE25'!F316</f>
        <v>0</v>
      </c>
      <c r="C27" s="232">
        <f>'DOE25'!G199+'DOE25'!G217+'DOE25'!G235+'DOE25'!G278+'DOE25'!G297+'DOE25'!G316</f>
        <v>0</v>
      </c>
    </row>
    <row r="28" spans="1:3" x14ac:dyDescent="0.2">
      <c r="A28" t="s">
        <v>773</v>
      </c>
      <c r="B28" s="238">
        <v>0</v>
      </c>
      <c r="C28" s="238">
        <v>0</v>
      </c>
    </row>
    <row r="29" spans="1:3" x14ac:dyDescent="0.2">
      <c r="A29" t="s">
        <v>774</v>
      </c>
      <c r="B29" s="238">
        <v>0</v>
      </c>
      <c r="C29" s="238">
        <v>0</v>
      </c>
    </row>
    <row r="30" spans="1:3" x14ac:dyDescent="0.2">
      <c r="A30" t="s">
        <v>775</v>
      </c>
      <c r="B30" s="238">
        <v>0</v>
      </c>
      <c r="C30" s="238">
        <v>0</v>
      </c>
    </row>
    <row r="31" spans="1:3" x14ac:dyDescent="0.2">
      <c r="A31" t="str">
        <f>IF(B27=B31,IF(C27=C31,"Check Total OK","Check Total Error"),"Check Total Error")</f>
        <v>Check Total OK</v>
      </c>
      <c r="B31" s="229">
        <f>SUM(B28:B30)</f>
        <v>0</v>
      </c>
      <c r="C31" s="229">
        <f>SUM(C28:C30)</f>
        <v>0</v>
      </c>
    </row>
    <row r="33" spans="1:3" x14ac:dyDescent="0.2">
      <c r="B33" s="275" t="s">
        <v>777</v>
      </c>
      <c r="C33" s="275"/>
    </row>
    <row r="34" spans="1:3" x14ac:dyDescent="0.2">
      <c r="A34" s="237" t="s">
        <v>783</v>
      </c>
      <c r="B34" s="273" t="s">
        <v>703</v>
      </c>
      <c r="C34" s="274"/>
    </row>
    <row r="35" spans="1:3" x14ac:dyDescent="0.2">
      <c r="B35" s="226" t="s">
        <v>54</v>
      </c>
      <c r="C35" s="226" t="s">
        <v>770</v>
      </c>
    </row>
    <row r="36" spans="1:3" x14ac:dyDescent="0.2">
      <c r="A36" s="33" t="s">
        <v>771</v>
      </c>
      <c r="B36" s="233">
        <f>'DOE25'!F200+'DOE25'!F218+'DOE25'!F236+'DOE25'!F279+'DOE25'!F298+'DOE25'!F317</f>
        <v>98789.63</v>
      </c>
      <c r="C36" s="233">
        <f>'DOE25'!G200+'DOE25'!G218+'DOE25'!G236+'DOE25'!G279+'DOE25'!G298+'DOE25'!G317</f>
        <v>16639.600000000002</v>
      </c>
    </row>
    <row r="37" spans="1:3" x14ac:dyDescent="0.2">
      <c r="A37" t="s">
        <v>773</v>
      </c>
      <c r="B37" s="238">
        <f>32732.42+38420+1625.72+7495.19+18516.3</f>
        <v>98789.63</v>
      </c>
      <c r="C37" s="238">
        <f>7917.81+4995.18+469.39+1840.69+1416.53</f>
        <v>16639.600000000002</v>
      </c>
    </row>
    <row r="38" spans="1:3" x14ac:dyDescent="0.2">
      <c r="A38" t="s">
        <v>774</v>
      </c>
      <c r="B38" s="238">
        <v>0</v>
      </c>
      <c r="C38" s="238">
        <v>0</v>
      </c>
    </row>
    <row r="39" spans="1:3" x14ac:dyDescent="0.2">
      <c r="A39" t="s">
        <v>775</v>
      </c>
      <c r="B39" s="238">
        <v>0</v>
      </c>
      <c r="C39" s="238">
        <v>0</v>
      </c>
    </row>
    <row r="40" spans="1:3" x14ac:dyDescent="0.2">
      <c r="A40" t="str">
        <f>IF(B36=B40,IF(C36=C40,"Check Total OK","Check Total Error"),"Check Total Error")</f>
        <v>Check Total OK</v>
      </c>
      <c r="B40" s="229">
        <f>SUM(B37:B39)</f>
        <v>98789.63</v>
      </c>
      <c r="C40" s="229">
        <f>SUM(C37:C39)</f>
        <v>16639.600000000002</v>
      </c>
    </row>
    <row r="41" spans="1:3" x14ac:dyDescent="0.2">
      <c r="B41" s="228"/>
      <c r="C41" s="228"/>
    </row>
    <row r="42" spans="1:3" x14ac:dyDescent="0.2">
      <c r="A42" s="33" t="s">
        <v>831</v>
      </c>
      <c r="B42" s="228"/>
      <c r="C42" s="228"/>
    </row>
    <row r="43" spans="1:3" x14ac:dyDescent="0.2">
      <c r="A43" t="s">
        <v>835</v>
      </c>
      <c r="B43" s="228"/>
      <c r="C43" s="228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2" t="s">
        <v>772</v>
      </c>
    </row>
    <row r="49" spans="1:1" x14ac:dyDescent="0.2">
      <c r="A49" s="266" t="s">
        <v>838</v>
      </c>
    </row>
    <row r="50" spans="1:1" x14ac:dyDescent="0.2">
      <c r="A50" s="266" t="s">
        <v>832</v>
      </c>
    </row>
    <row r="51" spans="1:1" x14ac:dyDescent="0.2">
      <c r="A51" s="266" t="s">
        <v>839</v>
      </c>
    </row>
    <row r="52" spans="1:1" x14ac:dyDescent="0.2">
      <c r="A52" s="267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topLeftCell="B1" zoomScaleNormal="100" workbookViewId="0">
      <pane ySplit="4" topLeftCell="A5" activePane="bottomLeft" state="frozen"/>
      <selection activeCell="F46" sqref="F46"/>
      <selection pane="bottomLeft" activeCell="B44" sqref="B4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784</v>
      </c>
      <c r="B1" s="280"/>
      <c r="C1" s="280"/>
      <c r="D1" s="280"/>
      <c r="E1" s="280"/>
      <c r="F1" s="280"/>
      <c r="G1" s="280"/>
      <c r="H1" s="280"/>
      <c r="I1" s="179"/>
    </row>
    <row r="2" spans="1:9" x14ac:dyDescent="0.2">
      <c r="A2" s="33" t="s">
        <v>711</v>
      </c>
      <c r="B2" s="263" t="str">
        <f>'DOE25'!A2</f>
        <v>Farmington</v>
      </c>
      <c r="C2" s="179"/>
      <c r="D2" s="179" t="s">
        <v>786</v>
      </c>
      <c r="E2" s="179" t="s">
        <v>788</v>
      </c>
      <c r="F2" s="277" t="s">
        <v>815</v>
      </c>
      <c r="G2" s="278"/>
      <c r="H2" s="279"/>
      <c r="I2" s="179"/>
    </row>
    <row r="3" spans="1:9" x14ac:dyDescent="0.2">
      <c r="A3" s="179" t="s">
        <v>94</v>
      </c>
      <c r="B3" s="226" t="s">
        <v>10</v>
      </c>
      <c r="C3" s="179" t="s">
        <v>5</v>
      </c>
      <c r="D3" s="179" t="s">
        <v>787</v>
      </c>
      <c r="E3" s="179" t="s">
        <v>789</v>
      </c>
      <c r="F3" s="239" t="s">
        <v>829</v>
      </c>
      <c r="G3" s="215" t="s">
        <v>59</v>
      </c>
      <c r="H3" s="240" t="s">
        <v>792</v>
      </c>
    </row>
    <row r="4" spans="1:9" x14ac:dyDescent="0.2">
      <c r="A4" s="249" t="s">
        <v>794</v>
      </c>
      <c r="B4" s="249" t="s">
        <v>810</v>
      </c>
      <c r="C4" s="249" t="s">
        <v>785</v>
      </c>
      <c r="D4" s="249" t="s">
        <v>811</v>
      </c>
      <c r="E4" s="249" t="s">
        <v>811</v>
      </c>
      <c r="F4" s="248" t="s">
        <v>791</v>
      </c>
      <c r="G4" s="249" t="s">
        <v>805</v>
      </c>
      <c r="H4" s="250" t="s">
        <v>793</v>
      </c>
    </row>
    <row r="5" spans="1:9" x14ac:dyDescent="0.2">
      <c r="A5" s="32">
        <v>1000</v>
      </c>
      <c r="B5" t="s">
        <v>195</v>
      </c>
      <c r="C5" s="243">
        <f t="shared" ref="C5:C19" si="0">SUM(D5:H5)</f>
        <v>8441025.8599999994</v>
      </c>
      <c r="D5" s="20">
        <f>SUM('DOE25'!L197:L200)+SUM('DOE25'!L215:L218)+SUM('DOE25'!L233:L236)-F5-G5</f>
        <v>8413910.8699999992</v>
      </c>
      <c r="E5" s="241"/>
      <c r="F5" s="253">
        <f>SUM('DOE25'!J197:J200)+SUM('DOE25'!J215:J218)+SUM('DOE25'!J233:J236)</f>
        <v>15936.989999999998</v>
      </c>
      <c r="G5" s="53">
        <f>SUM('DOE25'!K197:K200)+SUM('DOE25'!K215:K218)+SUM('DOE25'!K233:K236)</f>
        <v>11178</v>
      </c>
      <c r="H5" s="257"/>
    </row>
    <row r="6" spans="1:9" x14ac:dyDescent="0.2">
      <c r="A6" s="32">
        <v>2100</v>
      </c>
      <c r="B6" t="s">
        <v>795</v>
      </c>
      <c r="C6" s="243">
        <f t="shared" si="0"/>
        <v>1148193.67</v>
      </c>
      <c r="D6" s="20">
        <f>'DOE25'!L202+'DOE25'!L220+'DOE25'!L238-F6-G6</f>
        <v>1147472.67</v>
      </c>
      <c r="E6" s="241"/>
      <c r="F6" s="253">
        <f>'DOE25'!J202+'DOE25'!J220+'DOE25'!J238</f>
        <v>358</v>
      </c>
      <c r="G6" s="53">
        <f>'DOE25'!K202+'DOE25'!K220+'DOE25'!K238</f>
        <v>363</v>
      </c>
      <c r="H6" s="257"/>
    </row>
    <row r="7" spans="1:9" x14ac:dyDescent="0.2">
      <c r="A7" s="32">
        <v>2200</v>
      </c>
      <c r="B7" t="s">
        <v>828</v>
      </c>
      <c r="C7" s="243">
        <f t="shared" si="0"/>
        <v>265640.53000000003</v>
      </c>
      <c r="D7" s="20">
        <f>'DOE25'!L203+'DOE25'!L221+'DOE25'!L239-F7-G7</f>
        <v>265465.53000000003</v>
      </c>
      <c r="E7" s="241"/>
      <c r="F7" s="253">
        <f>'DOE25'!J203+'DOE25'!J221+'DOE25'!J239</f>
        <v>175</v>
      </c>
      <c r="G7" s="53">
        <f>'DOE25'!K203+'DOE25'!K221+'DOE25'!K239</f>
        <v>0</v>
      </c>
      <c r="H7" s="257"/>
    </row>
    <row r="8" spans="1:9" x14ac:dyDescent="0.2">
      <c r="A8" s="32">
        <v>2300</v>
      </c>
      <c r="B8" t="s">
        <v>796</v>
      </c>
      <c r="C8" s="243">
        <f t="shared" si="0"/>
        <v>274678.0299999998</v>
      </c>
      <c r="D8" s="241"/>
      <c r="E8" s="20">
        <f>'DOE25'!L204+'DOE25'!L222+'DOE25'!L240-F8-G8-D9-D11</f>
        <v>266612.92999999982</v>
      </c>
      <c r="F8" s="253">
        <f>'DOE25'!J204+'DOE25'!J222+'DOE25'!J240</f>
        <v>741.66</v>
      </c>
      <c r="G8" s="53">
        <f>'DOE25'!K204+'DOE25'!K222+'DOE25'!K240</f>
        <v>7323.4400000000005</v>
      </c>
      <c r="H8" s="257"/>
    </row>
    <row r="9" spans="1:9" x14ac:dyDescent="0.2">
      <c r="A9" s="32">
        <v>2310</v>
      </c>
      <c r="B9" t="s">
        <v>812</v>
      </c>
      <c r="C9" s="243">
        <f t="shared" si="0"/>
        <v>93664.51999999999</v>
      </c>
      <c r="D9" s="242">
        <f>134064.52-40400</f>
        <v>93664.51999999999</v>
      </c>
      <c r="E9" s="241"/>
      <c r="F9" s="256"/>
      <c r="G9" s="254"/>
      <c r="H9" s="257"/>
    </row>
    <row r="10" spans="1:9" x14ac:dyDescent="0.2">
      <c r="A10" s="32">
        <v>2317</v>
      </c>
      <c r="B10" t="s">
        <v>813</v>
      </c>
      <c r="C10" s="243">
        <f t="shared" si="0"/>
        <v>56700</v>
      </c>
      <c r="D10" s="241"/>
      <c r="E10" s="242">
        <v>56700</v>
      </c>
      <c r="F10" s="256"/>
      <c r="G10" s="254"/>
      <c r="H10" s="257"/>
    </row>
    <row r="11" spans="1:9" x14ac:dyDescent="0.2">
      <c r="A11" s="32">
        <v>2321</v>
      </c>
      <c r="B11" t="s">
        <v>825</v>
      </c>
      <c r="C11" s="243">
        <f t="shared" si="0"/>
        <v>619599.41</v>
      </c>
      <c r="D11" s="242">
        <f>810999.41-81600-109800</f>
        <v>619599.41</v>
      </c>
      <c r="E11" s="241"/>
      <c r="F11" s="256"/>
      <c r="G11" s="254"/>
      <c r="H11" s="257"/>
    </row>
    <row r="12" spans="1:9" x14ac:dyDescent="0.2">
      <c r="A12" s="32">
        <v>2400</v>
      </c>
      <c r="B12" t="s">
        <v>709</v>
      </c>
      <c r="C12" s="243">
        <f t="shared" si="0"/>
        <v>1033512.8700000001</v>
      </c>
      <c r="D12" s="20">
        <f>'DOE25'!L205+'DOE25'!L223+'DOE25'!L241-F12-G12</f>
        <v>1026207.3700000001</v>
      </c>
      <c r="E12" s="241"/>
      <c r="F12" s="253">
        <f>'DOE25'!J205+'DOE25'!J223+'DOE25'!J241</f>
        <v>281.44</v>
      </c>
      <c r="G12" s="53">
        <f>'DOE25'!K205+'DOE25'!K223+'DOE25'!K241</f>
        <v>7024.0599999999995</v>
      </c>
      <c r="H12" s="257"/>
    </row>
    <row r="13" spans="1:9" x14ac:dyDescent="0.2">
      <c r="A13" s="32">
        <v>2500</v>
      </c>
      <c r="B13" t="s">
        <v>797</v>
      </c>
      <c r="C13" s="243">
        <f t="shared" si="0"/>
        <v>0</v>
      </c>
      <c r="D13" s="241"/>
      <c r="E13" s="20">
        <f>'DOE25'!L206+'DOE25'!L224+'DOE25'!L242-F13-G13</f>
        <v>0</v>
      </c>
      <c r="F13" s="253">
        <f>'DOE25'!J206+'DOE25'!J224+'DOE25'!J242</f>
        <v>0</v>
      </c>
      <c r="G13" s="53">
        <f>'DOE25'!K206+'DOE25'!K224+'DOE25'!K242</f>
        <v>0</v>
      </c>
      <c r="H13" s="257"/>
    </row>
    <row r="14" spans="1:9" x14ac:dyDescent="0.2">
      <c r="A14" s="32">
        <v>2600</v>
      </c>
      <c r="B14" t="s">
        <v>826</v>
      </c>
      <c r="C14" s="243">
        <f t="shared" si="0"/>
        <v>1499294.65</v>
      </c>
      <c r="D14" s="20">
        <f>'DOE25'!L207+'DOE25'!L225+'DOE25'!L243-F14-G14</f>
        <v>1478182.77</v>
      </c>
      <c r="E14" s="241"/>
      <c r="F14" s="253">
        <f>'DOE25'!J207+'DOE25'!J225+'DOE25'!J243</f>
        <v>20999.879999999997</v>
      </c>
      <c r="G14" s="53">
        <f>'DOE25'!K207+'DOE25'!K225+'DOE25'!K243</f>
        <v>112</v>
      </c>
      <c r="H14" s="257"/>
    </row>
    <row r="15" spans="1:9" x14ac:dyDescent="0.2">
      <c r="A15" s="32">
        <v>2700</v>
      </c>
      <c r="B15" t="s">
        <v>798</v>
      </c>
      <c r="C15" s="243">
        <f t="shared" si="0"/>
        <v>498676.60000000003</v>
      </c>
      <c r="D15" s="20">
        <f>'DOE25'!L208+'DOE25'!L226+'DOE25'!L244-F15-G15</f>
        <v>494436.60000000003</v>
      </c>
      <c r="E15" s="241"/>
      <c r="F15" s="253">
        <f>'DOE25'!J208+'DOE25'!J226+'DOE25'!J244</f>
        <v>3432</v>
      </c>
      <c r="G15" s="53">
        <f>'DOE25'!K208+'DOE25'!K226+'DOE25'!K244</f>
        <v>808</v>
      </c>
      <c r="H15" s="257"/>
    </row>
    <row r="16" spans="1:9" x14ac:dyDescent="0.2">
      <c r="A16" s="32">
        <v>2800</v>
      </c>
      <c r="B16" t="s">
        <v>799</v>
      </c>
      <c r="C16" s="243">
        <f t="shared" si="0"/>
        <v>220530.18</v>
      </c>
      <c r="D16" s="241"/>
      <c r="E16" s="20">
        <f>'DOE25'!L209+'DOE25'!L227+'DOE25'!L245-F16-G16</f>
        <v>203130.91</v>
      </c>
      <c r="F16" s="253">
        <f>'DOE25'!J209+'DOE25'!J227+'DOE25'!J245</f>
        <v>17399.27</v>
      </c>
      <c r="G16" s="53">
        <f>'DOE25'!K209+'DOE25'!K227+'DOE25'!K245</f>
        <v>0</v>
      </c>
      <c r="H16" s="257"/>
    </row>
    <row r="17" spans="1:8" x14ac:dyDescent="0.2">
      <c r="A17" s="32">
        <v>1600</v>
      </c>
      <c r="B17" t="s">
        <v>800</v>
      </c>
      <c r="C17" s="243">
        <f t="shared" si="0"/>
        <v>0</v>
      </c>
      <c r="D17" s="20">
        <f>'DOE25'!L251-F17-G17</f>
        <v>0</v>
      </c>
      <c r="E17" s="241"/>
      <c r="F17" s="253">
        <f>'DOE25'!J251</f>
        <v>0</v>
      </c>
      <c r="G17" s="53">
        <f>'DOE25'!K251</f>
        <v>0</v>
      </c>
      <c r="H17" s="257"/>
    </row>
    <row r="18" spans="1:8" x14ac:dyDescent="0.2">
      <c r="A18" s="32">
        <v>1700</v>
      </c>
      <c r="B18" t="s">
        <v>801</v>
      </c>
      <c r="C18" s="243">
        <f t="shared" si="0"/>
        <v>0</v>
      </c>
      <c r="D18" s="20">
        <f>'DOE25'!L252-F18-G18</f>
        <v>0</v>
      </c>
      <c r="E18" s="241"/>
      <c r="F18" s="253">
        <f>'DOE25'!J252</f>
        <v>0</v>
      </c>
      <c r="G18" s="53">
        <f>'DOE25'!K252</f>
        <v>0</v>
      </c>
      <c r="H18" s="257"/>
    </row>
    <row r="19" spans="1:8" x14ac:dyDescent="0.2">
      <c r="A19" s="32">
        <v>1800</v>
      </c>
      <c r="B19" t="s">
        <v>802</v>
      </c>
      <c r="C19" s="243">
        <f t="shared" si="0"/>
        <v>0</v>
      </c>
      <c r="D19" s="20">
        <f>'DOE25'!L253-F19-G19</f>
        <v>0</v>
      </c>
      <c r="E19" s="241"/>
      <c r="F19" s="253">
        <f>'DOE25'!J253</f>
        <v>0</v>
      </c>
      <c r="G19" s="53">
        <f>'DOE25'!K253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790</v>
      </c>
      <c r="F21" s="258"/>
      <c r="G21" s="52"/>
      <c r="H21" s="259"/>
    </row>
    <row r="22" spans="1:8" x14ac:dyDescent="0.2">
      <c r="A22" s="32">
        <v>4000</v>
      </c>
      <c r="B22" t="s">
        <v>827</v>
      </c>
      <c r="C22" s="243">
        <f>SUM(D22:H22)</f>
        <v>0</v>
      </c>
      <c r="D22" s="241"/>
      <c r="E22" s="241"/>
      <c r="F22" s="253">
        <f>'DOE25'!L255+'DOE25'!L336</f>
        <v>0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461</v>
      </c>
      <c r="F24" s="258"/>
      <c r="G24" s="52"/>
      <c r="H24" s="259"/>
    </row>
    <row r="25" spans="1:8" x14ac:dyDescent="0.2">
      <c r="A25" s="32" t="s">
        <v>803</v>
      </c>
      <c r="B25" t="s">
        <v>804</v>
      </c>
      <c r="C25" s="243">
        <f>SUM(D25:H25)</f>
        <v>0</v>
      </c>
      <c r="D25" s="241"/>
      <c r="E25" s="241"/>
      <c r="F25" s="256"/>
      <c r="G25" s="254"/>
      <c r="H25" s="255">
        <f>'DOE25'!L260+'DOE25'!L261+'DOE25'!L341+'DOE25'!L342</f>
        <v>0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806</v>
      </c>
      <c r="F27" s="258"/>
      <c r="G27" s="52"/>
      <c r="H27" s="259"/>
    </row>
    <row r="28" spans="1:8" x14ac:dyDescent="0.2">
      <c r="A28" s="32">
        <v>3100</v>
      </c>
      <c r="B28" t="s">
        <v>819</v>
      </c>
      <c r="F28" s="258"/>
      <c r="G28" s="52"/>
      <c r="H28" s="259"/>
    </row>
    <row r="29" spans="1:8" x14ac:dyDescent="0.2">
      <c r="A29" s="32"/>
      <c r="B29" t="s">
        <v>807</v>
      </c>
      <c r="C29" s="243">
        <f>SUM(D29:H29)</f>
        <v>493444.39</v>
      </c>
      <c r="D29" s="20">
        <f>'DOE25'!L358+'DOE25'!L359+'DOE25'!L360-'DOE25'!I367-F29-G29</f>
        <v>493444.39</v>
      </c>
      <c r="E29" s="241"/>
      <c r="F29" s="253">
        <f>'DOE25'!J358+'DOE25'!J359+'DOE25'!J360</f>
        <v>0</v>
      </c>
      <c r="G29" s="53">
        <f>'DOE25'!K358+'DOE25'!K359+'DOE25'!K360</f>
        <v>0</v>
      </c>
      <c r="H29" s="257"/>
    </row>
    <row r="30" spans="1:8" x14ac:dyDescent="0.2">
      <c r="A30" s="32"/>
      <c r="D30" s="20"/>
      <c r="E30" s="241"/>
      <c r="F30" s="253"/>
      <c r="G30" s="53"/>
      <c r="H30" s="257"/>
    </row>
    <row r="31" spans="1:8" x14ac:dyDescent="0.2">
      <c r="A31" s="32" t="s">
        <v>821</v>
      </c>
      <c r="B31" t="s">
        <v>820</v>
      </c>
      <c r="C31" s="243">
        <f>SUM(D31:H31)</f>
        <v>1164819.2</v>
      </c>
      <c r="D31" s="20">
        <f>'DOE25'!L290+'DOE25'!L309+'DOE25'!L328+'DOE25'!L333+'DOE25'!L334+'DOE25'!L335-F31-G31</f>
        <v>999307.02</v>
      </c>
      <c r="E31" s="241"/>
      <c r="F31" s="253">
        <f>'DOE25'!J290+'DOE25'!J309+'DOE25'!J328+'DOE25'!J333+'DOE25'!J334+'DOE25'!J335</f>
        <v>108588.46</v>
      </c>
      <c r="G31" s="53">
        <f>'DOE25'!K290+'DOE25'!K309+'DOE25'!K328+'DOE25'!K333+'DOE25'!K334+'DOE25'!K335</f>
        <v>56923.72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808</v>
      </c>
      <c r="D33" s="244">
        <f>SUM(D5:D31)</f>
        <v>15031691.149999997</v>
      </c>
      <c r="E33" s="244">
        <f>SUM(E5:E31)</f>
        <v>526443.83999999985</v>
      </c>
      <c r="F33" s="244">
        <f>SUM(F5:F31)</f>
        <v>167912.7</v>
      </c>
      <c r="G33" s="244">
        <f>SUM(G5:G31)</f>
        <v>83732.22</v>
      </c>
      <c r="H33" s="244">
        <f>SUM(H5:H31)</f>
        <v>0</v>
      </c>
    </row>
    <row r="35" spans="2:8" ht="12" thickBot="1" x14ac:dyDescent="0.25">
      <c r="B35" s="251" t="s">
        <v>841</v>
      </c>
      <c r="D35" s="252">
        <f>E33</f>
        <v>526443.83999999985</v>
      </c>
      <c r="E35" s="247"/>
    </row>
    <row r="36" spans="2:8" ht="12" thickTop="1" x14ac:dyDescent="0.2">
      <c r="B36" t="s">
        <v>809</v>
      </c>
      <c r="D36" s="20">
        <f>D33</f>
        <v>15031691.149999997</v>
      </c>
    </row>
    <row r="38" spans="2:8" x14ac:dyDescent="0.2">
      <c r="B38" s="185" t="s">
        <v>908</v>
      </c>
      <c r="C38" s="264"/>
      <c r="D38" s="265"/>
    </row>
    <row r="39" spans="2:8" x14ac:dyDescent="0.2">
      <c r="B39" t="s">
        <v>818</v>
      </c>
      <c r="D39" s="179" t="str">
        <f>IF(E10&gt;0,"Y","N")</f>
        <v>Y</v>
      </c>
    </row>
    <row r="41" spans="2:8" x14ac:dyDescent="0.2">
      <c r="B41" s="262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142" zoomScaleNormal="142" workbookViewId="0">
      <pane ySplit="2" topLeftCell="A246" activePane="bottomLeft" state="frozen"/>
      <selection activeCell="F46" sqref="F46"/>
      <selection pane="bottomLeft" activeCell="A259" sqref="A25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Farmington</v>
      </c>
      <c r="B2" s="125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4"/>
      <c r="I2" s="124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3"/>
      <c r="I5" s="123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3"/>
      <c r="I6" s="123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1851846.8</v>
      </c>
      <c r="D8" s="94">
        <f>'DOE25'!G9</f>
        <v>5330.99</v>
      </c>
      <c r="E8" s="94">
        <f>'DOE25'!H9</f>
        <v>0</v>
      </c>
      <c r="F8" s="94">
        <f>'DOE25'!I9</f>
        <v>0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0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132704.16999999998</v>
      </c>
      <c r="D11" s="94">
        <f>'DOE25'!G12</f>
        <v>-38064.46</v>
      </c>
      <c r="E11" s="94">
        <f>'DOE25'!H12</f>
        <v>-214837.73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706651</v>
      </c>
      <c r="D12" s="94">
        <f>'DOE25'!G13</f>
        <v>23465.93</v>
      </c>
      <c r="E12" s="94">
        <f>'DOE25'!H13</f>
        <v>247004.7</v>
      </c>
      <c r="F12" s="94">
        <f>'DOE25'!I13</f>
        <v>0</v>
      </c>
      <c r="G12" s="94">
        <f>'DOE25'!J13</f>
        <v>1565886.9999999995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2687.85</v>
      </c>
      <c r="D13" s="94">
        <f>'DOE25'!G14</f>
        <v>13024.62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4">
        <f>'DOE25'!I15</f>
        <v>0</v>
      </c>
      <c r="G14" s="24" t="s">
        <v>286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286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225529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3415.2200000000003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2922834.04</v>
      </c>
      <c r="D18" s="41">
        <f>SUM(D8:D17)</f>
        <v>3757.08</v>
      </c>
      <c r="E18" s="41">
        <f>SUM(E8:E17)</f>
        <v>32166.97</v>
      </c>
      <c r="F18" s="41">
        <f>SUM(F8:F17)</f>
        <v>0</v>
      </c>
      <c r="G18" s="41">
        <f>SUM(G8:G17)</f>
        <v>1565886.9999999995</v>
      </c>
      <c r="H18" s="123"/>
      <c r="I18" s="123"/>
    </row>
    <row r="19" spans="1:9" x14ac:dyDescent="0.2">
      <c r="A19" s="1" t="s">
        <v>300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0</v>
      </c>
      <c r="D21" s="94">
        <f>'DOE25'!G22</f>
        <v>0</v>
      </c>
      <c r="E21" s="94">
        <f>'DOE25'!H22</f>
        <v>0</v>
      </c>
      <c r="F21" s="94">
        <f>'DOE25'!I22</f>
        <v>0</v>
      </c>
      <c r="G21" s="94">
        <f>'DOE25'!J22</f>
        <v>10534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34127.050000000003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90231.05</v>
      </c>
      <c r="D23" s="94">
        <f>'DOE25'!G24</f>
        <v>0</v>
      </c>
      <c r="E23" s="94">
        <f>'DOE25'!H24</f>
        <v>0</v>
      </c>
      <c r="F23" s="94">
        <f>'DOE25'!I24</f>
        <v>0</v>
      </c>
      <c r="G23" s="94">
        <f>'DOE25'!J24</f>
        <v>8734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286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286</v>
      </c>
      <c r="E25" s="24" t="s">
        <v>286</v>
      </c>
      <c r="F25" s="94">
        <f>'DOE25'!I26</f>
        <v>0</v>
      </c>
      <c r="G25" s="24" t="s">
        <v>286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286</v>
      </c>
      <c r="E26" s="24" t="s">
        <v>286</v>
      </c>
      <c r="F26" s="94">
        <f>'DOE25'!I27</f>
        <v>0</v>
      </c>
      <c r="G26" s="24" t="s">
        <v>286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777376.15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286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166319.30000000002</v>
      </c>
      <c r="D28" s="94">
        <f>'DOE25'!G29</f>
        <v>0</v>
      </c>
      <c r="E28" s="94">
        <f>'DOE25'!H29</f>
        <v>22966.97</v>
      </c>
      <c r="F28" s="94">
        <f>'DOE25'!I29</f>
        <v>0</v>
      </c>
      <c r="G28" s="24" t="s">
        <v>286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3757.08</v>
      </c>
      <c r="E29" s="94">
        <f>'DOE25'!H30</f>
        <v>9200</v>
      </c>
      <c r="F29" s="94">
        <f>'DOE25'!I30</f>
        <v>0</v>
      </c>
      <c r="G29" s="24" t="s">
        <v>286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1068053.55</v>
      </c>
      <c r="D31" s="41">
        <f>SUM(D21:D30)</f>
        <v>3757.08</v>
      </c>
      <c r="E31" s="41">
        <f>SUM(E21:E30)</f>
        <v>32166.97</v>
      </c>
      <c r="F31" s="41">
        <f>SUM(F21:F30)</f>
        <v>0</v>
      </c>
      <c r="G31" s="41">
        <f>SUM(G21:G30)</f>
        <v>19268</v>
      </c>
      <c r="H31" s="123"/>
      <c r="I31" s="123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3"/>
      <c r="I32" s="123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3"/>
      <c r="I33" s="123"/>
    </row>
    <row r="34" spans="1:9" x14ac:dyDescent="0.2">
      <c r="A34" s="1" t="s">
        <v>859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286</v>
      </c>
      <c r="H34" s="123"/>
      <c r="I34" s="123"/>
    </row>
    <row r="35" spans="1:9" x14ac:dyDescent="0.2">
      <c r="A35" s="1" t="s">
        <v>860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286</v>
      </c>
      <c r="H35" s="123"/>
      <c r="I35" s="123"/>
    </row>
    <row r="36" spans="1:9" x14ac:dyDescent="0.2">
      <c r="A36" s="1" t="s">
        <v>866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3"/>
      <c r="I37" s="123"/>
    </row>
    <row r="38" spans="1:9" x14ac:dyDescent="0.2">
      <c r="A38" s="1" t="s">
        <v>867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871</v>
      </c>
      <c r="B39" s="6"/>
      <c r="C39" s="24" t="s">
        <v>286</v>
      </c>
      <c r="D39" s="94">
        <f>'DOE25'!G40</f>
        <v>0</v>
      </c>
      <c r="E39" s="24" t="s">
        <v>286</v>
      </c>
      <c r="F39" s="24" t="s">
        <v>286</v>
      </c>
      <c r="G39" s="24" t="s">
        <v>286</v>
      </c>
      <c r="H39" s="123"/>
      <c r="I39" s="123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4">
        <f>'DOE25'!I41</f>
        <v>0</v>
      </c>
      <c r="G40" s="24" t="s">
        <v>286</v>
      </c>
      <c r="H40" s="123"/>
      <c r="I40" s="123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3"/>
      <c r="I41" s="123"/>
    </row>
    <row r="42" spans="1:9" x14ac:dyDescent="0.2">
      <c r="A42" s="1" t="s">
        <v>872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873</v>
      </c>
      <c r="B43" s="6">
        <v>755</v>
      </c>
      <c r="C43" s="94">
        <f>'DOE25'!F44</f>
        <v>7500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286</v>
      </c>
      <c r="H43" s="123"/>
      <c r="I43" s="123"/>
    </row>
    <row r="44" spans="1:9" x14ac:dyDescent="0.2">
      <c r="A44" s="1" t="s">
        <v>874</v>
      </c>
      <c r="B44" s="6">
        <v>753</v>
      </c>
      <c r="C44" s="94">
        <f>'DOE25'!F45</f>
        <v>225529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890</v>
      </c>
      <c r="B45" s="6"/>
      <c r="C45" s="94">
        <f>'DOE25'!F46</f>
        <v>202341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3"/>
      <c r="I45" s="123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3"/>
      <c r="I46" s="123"/>
    </row>
    <row r="47" spans="1:9" x14ac:dyDescent="0.2">
      <c r="A47" s="1" t="s">
        <v>891</v>
      </c>
      <c r="B47" s="6">
        <v>760</v>
      </c>
      <c r="C47" s="94">
        <f>'DOE25'!F48</f>
        <v>0</v>
      </c>
      <c r="D47" s="94">
        <f>'DOE25'!G48</f>
        <v>0</v>
      </c>
      <c r="E47" s="94">
        <f>'DOE25'!H48</f>
        <v>0</v>
      </c>
      <c r="F47" s="94">
        <f>'DOE25'!I48</f>
        <v>0</v>
      </c>
      <c r="G47" s="94">
        <f>'DOE25'!J48</f>
        <v>1546619</v>
      </c>
      <c r="H47" s="123"/>
      <c r="I47" s="123"/>
    </row>
    <row r="48" spans="1:9" x14ac:dyDescent="0.2">
      <c r="A48" s="1" t="s">
        <v>892</v>
      </c>
      <c r="B48" s="6">
        <v>753</v>
      </c>
      <c r="C48" s="94">
        <f>'DOE25'!F49</f>
        <v>0</v>
      </c>
      <c r="D48" s="94">
        <f>'DOE25'!G49</f>
        <v>0</v>
      </c>
      <c r="E48" s="94">
        <f>'DOE25'!H49</f>
        <v>0</v>
      </c>
      <c r="F48" s="94">
        <f>'DOE25'!I49</f>
        <v>0</v>
      </c>
      <c r="G48" s="94">
        <f>'DOE25'!J49</f>
        <v>0</v>
      </c>
      <c r="H48" s="123"/>
      <c r="I48" s="123"/>
    </row>
    <row r="49" spans="1:9" ht="12" thickBot="1" x14ac:dyDescent="0.25">
      <c r="A49" s="29" t="s">
        <v>893</v>
      </c>
      <c r="B49" s="70">
        <v>770</v>
      </c>
      <c r="C49" s="94">
        <f>'DOE25'!F50</f>
        <v>1419410.49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3"/>
      <c r="I49" s="123"/>
    </row>
    <row r="50" spans="1:9" ht="12.75" thickTop="1" thickBot="1" x14ac:dyDescent="0.25">
      <c r="A50" s="38" t="s">
        <v>894</v>
      </c>
      <c r="B50" s="48"/>
      <c r="C50" s="41">
        <f>SUM(C34:C49)</f>
        <v>1854780.49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1546619</v>
      </c>
      <c r="H50" s="123"/>
      <c r="I50" s="123"/>
    </row>
    <row r="51" spans="1:9" ht="12" thickTop="1" x14ac:dyDescent="0.2">
      <c r="A51" s="38" t="s">
        <v>895</v>
      </c>
      <c r="B51" s="2"/>
      <c r="C51" s="41">
        <f>C50+C31</f>
        <v>2922834.04</v>
      </c>
      <c r="D51" s="41">
        <f>D50+D31</f>
        <v>3757.08</v>
      </c>
      <c r="E51" s="41">
        <f>E50+E31</f>
        <v>32166.97</v>
      </c>
      <c r="F51" s="41">
        <f>F50+F31</f>
        <v>0</v>
      </c>
      <c r="G51" s="41">
        <f>G50+G31</f>
        <v>1565887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6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7" t="s">
        <v>161</v>
      </c>
      <c r="B55" s="126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7074095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22619.67</v>
      </c>
      <c r="D57" s="24" t="s">
        <v>286</v>
      </c>
      <c r="E57" s="94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12404.56</v>
      </c>
      <c r="D58" s="24" t="s">
        <v>286</v>
      </c>
      <c r="E58" s="94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0</v>
      </c>
      <c r="D59" s="94">
        <f>'DOE25'!G96</f>
        <v>0</v>
      </c>
      <c r="E59" s="94">
        <f>'DOE25'!H96</f>
        <v>0</v>
      </c>
      <c r="F59" s="94">
        <f>'DOE25'!I96</f>
        <v>0</v>
      </c>
      <c r="G59" s="94">
        <f>'DOE25'!J96</f>
        <v>6836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286</v>
      </c>
      <c r="D60" s="94">
        <f>'DOE25'!G97</f>
        <v>128400.71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45770.720000000001</v>
      </c>
      <c r="D61" s="94">
        <f>SUM('DOE25'!G98:G110)</f>
        <v>48255.82</v>
      </c>
      <c r="E61" s="94">
        <f>SUM('DOE25'!H98:H110)</f>
        <v>0</v>
      </c>
      <c r="F61" s="94">
        <f>SUM('DOE25'!I98:I110)</f>
        <v>0</v>
      </c>
      <c r="G61" s="94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80794.95</v>
      </c>
      <c r="D62" s="129">
        <f>SUM(D57:D61)</f>
        <v>176656.53</v>
      </c>
      <c r="E62" s="129">
        <f>SUM(E57:E61)</f>
        <v>0</v>
      </c>
      <c r="F62" s="129">
        <f>SUM(F57:F61)</f>
        <v>0</v>
      </c>
      <c r="G62" s="129">
        <f>SUM(G57:G61)</f>
        <v>6836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7154889.9500000002</v>
      </c>
      <c r="D63" s="22">
        <f>D56+D62</f>
        <v>176656.53</v>
      </c>
      <c r="E63" s="22">
        <f>E56+E62</f>
        <v>0</v>
      </c>
      <c r="F63" s="22">
        <f>F56+F62</f>
        <v>0</v>
      </c>
      <c r="G63" s="22">
        <f>G56+G62</f>
        <v>6836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4">
        <f>'DOE25'!F117</f>
        <v>5820948.3200000003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4">
        <f>'DOE25'!F118</f>
        <v>1019540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4738.04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6845226.3600000003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0</v>
      </c>
      <c r="D72" s="24" t="s">
        <v>286</v>
      </c>
      <c r="E72" s="24" t="s">
        <v>286</v>
      </c>
      <c r="F72" s="94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4" t="str">
        <f>'DOE25'!F124</f>
        <v>............</v>
      </c>
      <c r="D73" s="24" t="s">
        <v>286</v>
      </c>
      <c r="E73" s="24" t="s">
        <v>286</v>
      </c>
      <c r="F73" s="94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4">
        <f>'DOE25'!F126</f>
        <v>76129.710000000006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4">
        <f>SUM('DOE25'!F127:F130)</f>
        <v>11988.4</v>
      </c>
      <c r="D76" s="24" t="s">
        <v>286</v>
      </c>
      <c r="E76" s="94">
        <f>SUM('DOE25'!H127:H130)</f>
        <v>9643.18</v>
      </c>
      <c r="F76" s="94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4">
        <f>SUM('DOE25'!F131:F135)</f>
        <v>0</v>
      </c>
      <c r="D77" s="94">
        <f>SUM('DOE25'!G131:G135)</f>
        <v>5914.36</v>
      </c>
      <c r="E77" s="94">
        <f>SUM('DOE25'!H131:H135)</f>
        <v>0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29">
        <f>SUM(C72:C77)</f>
        <v>88118.11</v>
      </c>
      <c r="D78" s="129">
        <f>SUM(D72:D77)</f>
        <v>5914.36</v>
      </c>
      <c r="E78" s="129">
        <f>SUM(E72:E77)</f>
        <v>9643.18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4">
        <f>'DOE25'!F138</f>
        <v>0</v>
      </c>
      <c r="D80" s="24" t="s">
        <v>286</v>
      </c>
      <c r="E80" s="94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29">
        <f>SUM(C79:C80)+C78+C70</f>
        <v>6933344.4700000007</v>
      </c>
      <c r="D81" s="129">
        <f>SUM(D79:D80)+D78+D70</f>
        <v>5914.36</v>
      </c>
      <c r="E81" s="129">
        <f>SUM(E79:E80)+E78+E70</f>
        <v>9643.18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6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7" t="s">
        <v>181</v>
      </c>
      <c r="B84" s="126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4">
        <f>'DOE25'!F147</f>
        <v>53198.720000000001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4">
        <f>SUM('DOE25'!F149:F152)</f>
        <v>0</v>
      </c>
      <c r="D87" s="24" t="s">
        <v>286</v>
      </c>
      <c r="E87" s="94">
        <f>SUM('DOE25'!H149:H152)</f>
        <v>0</v>
      </c>
      <c r="F87" s="94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4">
        <f>SUM('DOE25'!F153:F161)</f>
        <v>168495.35999999999</v>
      </c>
      <c r="D88" s="94">
        <f>SUM('DOE25'!G153:G161)</f>
        <v>284171.68</v>
      </c>
      <c r="E88" s="94">
        <f>SUM('DOE25'!H153:H161)</f>
        <v>1155176.0200000003</v>
      </c>
      <c r="F88" s="94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4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0">
        <f>SUM(C85:C90)</f>
        <v>221694.07999999999</v>
      </c>
      <c r="D91" s="130">
        <f>SUM(D85:D90)</f>
        <v>284171.68</v>
      </c>
      <c r="E91" s="130">
        <f>SUM(E85:E90)</f>
        <v>1155176.0200000003</v>
      </c>
      <c r="F91" s="130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4">
        <f>SUM('DOE25'!F173:F175)</f>
        <v>0</v>
      </c>
      <c r="D93" s="24" t="s">
        <v>286</v>
      </c>
      <c r="E93" s="24" t="s">
        <v>286</v>
      </c>
      <c r="F93" s="94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4">
        <f>'DOE25'!F176</f>
        <v>0</v>
      </c>
      <c r="D94" s="24" t="s">
        <v>286</v>
      </c>
      <c r="E94" s="24" t="s">
        <v>286</v>
      </c>
      <c r="F94" s="94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4">
        <f>'DOE25'!G179</f>
        <v>74454.03</v>
      </c>
      <c r="E96" s="94">
        <f>'DOE25'!H179</f>
        <v>0</v>
      </c>
      <c r="F96" s="94">
        <f>'DOE25'!I179</f>
        <v>0</v>
      </c>
      <c r="G96" s="94">
        <f>'DOE25'!J179</f>
        <v>100000</v>
      </c>
    </row>
    <row r="97" spans="1:7" x14ac:dyDescent="0.2">
      <c r="A97" t="s">
        <v>752</v>
      </c>
      <c r="B97" s="32" t="s">
        <v>188</v>
      </c>
      <c r="C97" s="94">
        <f>SUM('DOE25'!F180:F181)</f>
        <v>0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753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286</v>
      </c>
      <c r="G98" s="94">
        <f>'DOE25'!J182</f>
        <v>0</v>
      </c>
    </row>
    <row r="99" spans="1:7" x14ac:dyDescent="0.2">
      <c r="A99" t="s">
        <v>754</v>
      </c>
      <c r="B99" s="32">
        <v>5251</v>
      </c>
      <c r="C99" s="94">
        <f>'DOE25'!F185</f>
        <v>82539.5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4">
        <f>SUM('DOE25'!F186:F187)</f>
        <v>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5">
        <f>SUM(C93:C102)</f>
        <v>82539.5</v>
      </c>
      <c r="D103" s="85">
        <f>SUM(D93:D102)</f>
        <v>74454.03</v>
      </c>
      <c r="E103" s="85">
        <f>SUM(E93:E102)</f>
        <v>0</v>
      </c>
      <c r="F103" s="85">
        <f>SUM(F93:F102)</f>
        <v>0</v>
      </c>
      <c r="G103" s="85">
        <f>SUM(G93:G102)</f>
        <v>100000</v>
      </c>
    </row>
    <row r="104" spans="1:7" ht="12.75" thickTop="1" thickBot="1" x14ac:dyDescent="0.25">
      <c r="A104" s="33" t="s">
        <v>759</v>
      </c>
      <c r="C104" s="85">
        <f>C63+C81+C91+C103</f>
        <v>14392468.000000002</v>
      </c>
      <c r="D104" s="85">
        <f>D63+D81+D91+D103</f>
        <v>541196.6</v>
      </c>
      <c r="E104" s="85">
        <f>E63+E81+E91+E103</f>
        <v>1164819.2000000002</v>
      </c>
      <c r="F104" s="85">
        <f>F63+F81+F91+F103</f>
        <v>0</v>
      </c>
      <c r="G104" s="85">
        <f>G63+G81+G103</f>
        <v>106836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6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7" t="s">
        <v>195</v>
      </c>
      <c r="B108" s="126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5283153.3100000005</v>
      </c>
      <c r="D109" s="24" t="s">
        <v>286</v>
      </c>
      <c r="E109" s="94">
        <f>('DOE25'!L276)+('DOE25'!L295)+('DOE25'!L314)</f>
        <v>583015.39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2964591.9299999997</v>
      </c>
      <c r="D110" s="24" t="s">
        <v>286</v>
      </c>
      <c r="E110" s="94">
        <f>('DOE25'!L277)+('DOE25'!L296)+('DOE25'!L315)</f>
        <v>152756.22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59275.08</v>
      </c>
      <c r="D111" s="24" t="s">
        <v>286</v>
      </c>
      <c r="E111" s="94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134005.54</v>
      </c>
      <c r="D112" s="24" t="s">
        <v>286</v>
      </c>
      <c r="E112" s="94">
        <f>+('DOE25'!L279)+('DOE25'!L298)+('DOE25'!L317)</f>
        <v>31179.1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286</v>
      </c>
      <c r="E113" s="94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0</v>
      </c>
      <c r="D114" s="24" t="s">
        <v>286</v>
      </c>
      <c r="E114" s="94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5">
        <f>SUM(C109:C114)</f>
        <v>8441025.8599999994</v>
      </c>
      <c r="D115" s="85">
        <f>SUM(D109:D114)</f>
        <v>0</v>
      </c>
      <c r="E115" s="85">
        <f>SUM(E109:E114)</f>
        <v>766950.71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1148193.67</v>
      </c>
      <c r="D118" s="24" t="s">
        <v>286</v>
      </c>
      <c r="E118" s="94">
        <f>+('DOE25'!L281)+('DOE25'!L300)+('DOE25'!L319)</f>
        <v>109846.69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265640.53000000003</v>
      </c>
      <c r="D119" s="24" t="s">
        <v>286</v>
      </c>
      <c r="E119" s="94">
        <f>+('DOE25'!L282)+('DOE25'!L301)+('DOE25'!L320)</f>
        <v>276502.83999999997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987941.95999999985</v>
      </c>
      <c r="D120" s="24" t="s">
        <v>286</v>
      </c>
      <c r="E120" s="94">
        <f>+('DOE25'!L283)+('DOE25'!L302)+('DOE25'!L321)</f>
        <v>1638.72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1033512.8700000001</v>
      </c>
      <c r="D121" s="24" t="s">
        <v>286</v>
      </c>
      <c r="E121" s="94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0</v>
      </c>
      <c r="D122" s="24" t="s">
        <v>286</v>
      </c>
      <c r="E122" s="94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1499294.65</v>
      </c>
      <c r="D123" s="24" t="s">
        <v>286</v>
      </c>
      <c r="E123" s="94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498676.60000000003</v>
      </c>
      <c r="D124" s="24" t="s">
        <v>286</v>
      </c>
      <c r="E124" s="94">
        <f>+('DOE25'!L287)+('DOE25'!L306)+('DOE25'!L325)</f>
        <v>9880.24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220530.18</v>
      </c>
      <c r="D125" s="24" t="s">
        <v>286</v>
      </c>
      <c r="E125" s="94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4">
        <f>('DOE25'!L358)+('DOE25'!L359)+('DOE25'!L360)</f>
        <v>493444.39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5">
        <f>SUM(C118:C127)</f>
        <v>5653790.459999999</v>
      </c>
      <c r="D128" s="85">
        <f>SUM(D118:D127)</f>
        <v>493444.39</v>
      </c>
      <c r="E128" s="85">
        <f>SUM(E118:E127)</f>
        <v>397868.48999999993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4">
        <f>'DOE25'!L255</f>
        <v>0</v>
      </c>
      <c r="D130" s="24" t="s">
        <v>286</v>
      </c>
      <c r="E130" s="128">
        <f>'DOE25'!L336</f>
        <v>0</v>
      </c>
      <c r="F130" s="128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4">
        <f>'DOE25'!L260</f>
        <v>0</v>
      </c>
      <c r="D131" s="24" t="s">
        <v>286</v>
      </c>
      <c r="E131" s="128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4">
        <f>'DOE25'!L261</f>
        <v>0</v>
      </c>
      <c r="D132" s="24" t="s">
        <v>286</v>
      </c>
      <c r="E132" s="128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4">
        <f>'DOE25'!K361</f>
        <v>0</v>
      </c>
      <c r="E134" s="94">
        <f>'DOE25'!L344</f>
        <v>0</v>
      </c>
      <c r="F134" s="94">
        <f>'DOE25'!K381</f>
        <v>0</v>
      </c>
      <c r="G134" s="94">
        <f>'DOE25'!K434</f>
        <v>82539.25</v>
      </c>
    </row>
    <row r="135" spans="1:7" x14ac:dyDescent="0.2">
      <c r="A135" t="s">
        <v>233</v>
      </c>
      <c r="B135" s="32" t="s">
        <v>234</v>
      </c>
      <c r="C135" s="94">
        <f>'DOE25'!L263</f>
        <v>74454.03</v>
      </c>
      <c r="D135" s="24" t="s">
        <v>286</v>
      </c>
      <c r="E135" s="128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286</v>
      </c>
      <c r="E137" s="128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4">
        <f>'DOE25'!L393</f>
        <v>106836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4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4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4">
        <f>('DOE25'!L266+'DOE25'!K347) - (C138+C139+C140)</f>
        <v>-6836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286</v>
      </c>
      <c r="E142" s="128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286</v>
      </c>
      <c r="E143" s="128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0">
        <f>SUM(C130:C143)</f>
        <v>174454.03</v>
      </c>
      <c r="D144" s="140">
        <f>SUM(D130:D143)</f>
        <v>0</v>
      </c>
      <c r="E144" s="140">
        <f>SUM(E130:E143)</f>
        <v>0</v>
      </c>
      <c r="F144" s="140">
        <f>SUM(F130:F143)</f>
        <v>0</v>
      </c>
      <c r="G144" s="140">
        <f>SUM(G130:G143)</f>
        <v>82539.25</v>
      </c>
    </row>
    <row r="145" spans="1:9" ht="12.75" thickTop="1" thickBot="1" x14ac:dyDescent="0.25">
      <c r="A145" s="33" t="s">
        <v>244</v>
      </c>
      <c r="C145" s="85">
        <f>(C115+C128+C144)</f>
        <v>14269270.349999998</v>
      </c>
      <c r="D145" s="85">
        <f>(D115+D128+D144)</f>
        <v>493444.39</v>
      </c>
      <c r="E145" s="85">
        <f>(E115+E128+E144)</f>
        <v>1164819.2</v>
      </c>
      <c r="F145" s="85">
        <f>(F115+F128+F144)</f>
        <v>0</v>
      </c>
      <c r="G145" s="85">
        <f>(G115+G128+G144)</f>
        <v>82539.25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5" t="s">
        <v>27</v>
      </c>
      <c r="B151" s="151">
        <f>'DOE25'!F490</f>
        <v>1</v>
      </c>
      <c r="C151" s="151">
        <f>'DOE25'!G490</f>
        <v>2</v>
      </c>
      <c r="D151" s="151">
        <f>'DOE25'!H490</f>
        <v>0</v>
      </c>
      <c r="E151" s="151">
        <f>'DOE25'!I490</f>
        <v>0</v>
      </c>
      <c r="F151" s="151">
        <f>'DOE25'!J490</f>
        <v>0</v>
      </c>
      <c r="G151" s="24" t="s">
        <v>286</v>
      </c>
    </row>
    <row r="152" spans="1:9" x14ac:dyDescent="0.2">
      <c r="A152" s="135" t="s">
        <v>28</v>
      </c>
      <c r="B152" s="150" t="str">
        <f>'DOE25'!F491</f>
        <v>3/2017</v>
      </c>
      <c r="C152" s="150" t="str">
        <f>'DOE25'!G491</f>
        <v>8/2018</v>
      </c>
      <c r="D152" s="150">
        <f>'DOE25'!H491</f>
        <v>0</v>
      </c>
      <c r="E152" s="150">
        <f>'DOE25'!I491</f>
        <v>0</v>
      </c>
      <c r="F152" s="150">
        <f>'DOE25'!J491</f>
        <v>0</v>
      </c>
      <c r="G152" s="24" t="s">
        <v>286</v>
      </c>
    </row>
    <row r="153" spans="1:9" x14ac:dyDescent="0.2">
      <c r="A153" s="135" t="s">
        <v>29</v>
      </c>
      <c r="B153" s="150" t="str">
        <f>'DOE25'!F492</f>
        <v>3/2020</v>
      </c>
      <c r="C153" s="150" t="str">
        <f>'DOE25'!G492</f>
        <v>8/2021</v>
      </c>
      <c r="D153" s="150">
        <f>'DOE25'!H492</f>
        <v>0</v>
      </c>
      <c r="E153" s="150">
        <f>'DOE25'!I492</f>
        <v>0</v>
      </c>
      <c r="F153" s="150">
        <f>'DOE25'!J492</f>
        <v>0</v>
      </c>
      <c r="G153" s="24" t="s">
        <v>286</v>
      </c>
    </row>
    <row r="154" spans="1:9" x14ac:dyDescent="0.2">
      <c r="A154" s="135" t="s">
        <v>30</v>
      </c>
      <c r="B154" s="136">
        <f>'DOE25'!F493</f>
        <v>75349</v>
      </c>
      <c r="C154" s="136">
        <f>'DOE25'!G493</f>
        <v>155000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286</v>
      </c>
    </row>
    <row r="155" spans="1:9" x14ac:dyDescent="0.2">
      <c r="A155" s="135" t="s">
        <v>31</v>
      </c>
      <c r="B155" s="136">
        <f>'DOE25'!F494</f>
        <v>2.2719999999999998</v>
      </c>
      <c r="C155" s="136">
        <f>'DOE25'!G494</f>
        <v>4.4151999999999996</v>
      </c>
      <c r="D155" s="136">
        <f>'DOE25'!H494</f>
        <v>0</v>
      </c>
      <c r="E155" s="136">
        <f>'DOE25'!I494</f>
        <v>0</v>
      </c>
      <c r="F155" s="136">
        <f>'DOE25'!J494</f>
        <v>0</v>
      </c>
      <c r="G155" s="24" t="s">
        <v>286</v>
      </c>
    </row>
    <row r="156" spans="1:9" x14ac:dyDescent="0.2">
      <c r="A156" s="22" t="s">
        <v>32</v>
      </c>
      <c r="B156" s="136">
        <f>'DOE25'!F495</f>
        <v>57141.93</v>
      </c>
      <c r="C156" s="136">
        <f>'DOE25'!G495</f>
        <v>155000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>SUM(B156:F156)</f>
        <v>212141.93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0</v>
      </c>
      <c r="C158" s="136">
        <f>'DOE25'!G497</f>
        <v>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0</v>
      </c>
    </row>
    <row r="159" spans="1:9" x14ac:dyDescent="0.2">
      <c r="A159" s="22" t="s">
        <v>35</v>
      </c>
      <c r="B159" s="136">
        <f>'DOE25'!F498</f>
        <v>38521.19</v>
      </c>
      <c r="C159" s="136">
        <f>'DOE25'!G498</f>
        <v>155000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193521.19</v>
      </c>
    </row>
    <row r="160" spans="1:9" x14ac:dyDescent="0.2">
      <c r="A160" s="22" t="s">
        <v>36</v>
      </c>
      <c r="B160" s="136">
        <f>'DOE25'!F499</f>
        <v>1317.7299999999998</v>
      </c>
      <c r="C160" s="136">
        <f>'DOE25'!G499</f>
        <v>10185.040000000001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11502.77</v>
      </c>
    </row>
    <row r="161" spans="1:7" x14ac:dyDescent="0.2">
      <c r="A161" s="22" t="s">
        <v>37</v>
      </c>
      <c r="B161" s="136">
        <f>'DOE25'!F500</f>
        <v>39838.920000000006</v>
      </c>
      <c r="C161" s="136">
        <f>'DOE25'!G500</f>
        <v>165185.04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205023.96000000002</v>
      </c>
    </row>
    <row r="162" spans="1:7" x14ac:dyDescent="0.2">
      <c r="A162" s="22" t="s">
        <v>38</v>
      </c>
      <c r="B162" s="136">
        <f>'DOE25'!F501</f>
        <v>19043.8</v>
      </c>
      <c r="C162" s="136">
        <f>'DOE25'!G501</f>
        <v>41296.26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60340.06</v>
      </c>
    </row>
    <row r="163" spans="1:7" x14ac:dyDescent="0.2">
      <c r="A163" s="22" t="s">
        <v>39</v>
      </c>
      <c r="B163" s="136">
        <f>'DOE25'!F502</f>
        <v>875.2</v>
      </c>
      <c r="C163" s="136">
        <f>'DOE25'!G502</f>
        <v>0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875.2</v>
      </c>
    </row>
    <row r="164" spans="1:7" x14ac:dyDescent="0.2">
      <c r="A164" s="22" t="s">
        <v>246</v>
      </c>
      <c r="B164" s="136">
        <f>'DOE25'!F503</f>
        <v>19919</v>
      </c>
      <c r="C164" s="136">
        <f>'DOE25'!G503</f>
        <v>41296.26</v>
      </c>
      <c r="D164" s="136">
        <f>'DOE25'!H503</f>
        <v>0</v>
      </c>
      <c r="E164" s="136">
        <f>'DOE25'!I503</f>
        <v>0</v>
      </c>
      <c r="F164" s="136">
        <f>'DOE25'!J503</f>
        <v>0</v>
      </c>
      <c r="G164" s="137">
        <f t="shared" si="0"/>
        <v>61215.26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734</v>
      </c>
      <c r="B1" s="281"/>
      <c r="C1" s="281"/>
      <c r="D1" s="281"/>
    </row>
    <row r="2" spans="1:4" x14ac:dyDescent="0.2">
      <c r="A2" s="185" t="s">
        <v>711</v>
      </c>
      <c r="B2" s="184" t="str">
        <f>'DOE25'!A2</f>
        <v>Farmington</v>
      </c>
    </row>
    <row r="3" spans="1:4" x14ac:dyDescent="0.2">
      <c r="B3" s="186" t="s">
        <v>909</v>
      </c>
    </row>
    <row r="4" spans="1:4" x14ac:dyDescent="0.2">
      <c r="B4" t="s">
        <v>61</v>
      </c>
      <c r="C4" s="177">
        <f>IF('DOE25'!F665+'DOE25'!F670=0,0,ROUND('DOE25'!F672,0))</f>
        <v>14637</v>
      </c>
    </row>
    <row r="5" spans="1:4" x14ac:dyDescent="0.2">
      <c r="B5" t="s">
        <v>698</v>
      </c>
      <c r="C5" s="177">
        <f>IF('DOE25'!G665+'DOE25'!G670=0,0,ROUND('DOE25'!G672,0))</f>
        <v>0</v>
      </c>
    </row>
    <row r="6" spans="1:4" x14ac:dyDescent="0.2">
      <c r="B6" t="s">
        <v>62</v>
      </c>
      <c r="C6" s="177">
        <f>IF('DOE25'!H665+'DOE25'!H670=0,0,ROUND('DOE25'!H672,0))</f>
        <v>17110</v>
      </c>
    </row>
    <row r="7" spans="1:4" x14ac:dyDescent="0.2">
      <c r="B7" t="s">
        <v>699</v>
      </c>
      <c r="C7" s="177">
        <f>IF('DOE25'!I665+'DOE25'!I670=0,0,ROUND('DOE25'!I672,0))</f>
        <v>15355</v>
      </c>
    </row>
    <row r="9" spans="1:4" x14ac:dyDescent="0.2">
      <c r="A9" s="185" t="s">
        <v>94</v>
      </c>
      <c r="B9" s="186" t="s">
        <v>910</v>
      </c>
      <c r="C9" s="179" t="s">
        <v>718</v>
      </c>
      <c r="D9" s="179" t="s">
        <v>719</v>
      </c>
    </row>
    <row r="10" spans="1:4" x14ac:dyDescent="0.2">
      <c r="A10">
        <v>1100</v>
      </c>
      <c r="B10" t="s">
        <v>700</v>
      </c>
      <c r="C10" s="177">
        <f>ROUND('DOE25'!L197+'DOE25'!L215+'DOE25'!L233+'DOE25'!L276+'DOE25'!L295+'DOE25'!L314,0)</f>
        <v>5866169</v>
      </c>
      <c r="D10" s="180">
        <f>ROUND((C10/$C$28)*100,1)</f>
        <v>37.700000000000003</v>
      </c>
    </row>
    <row r="11" spans="1:4" x14ac:dyDescent="0.2">
      <c r="A11">
        <v>1200</v>
      </c>
      <c r="B11" t="s">
        <v>701</v>
      </c>
      <c r="C11" s="177">
        <f>ROUND('DOE25'!L198+'DOE25'!L216+'DOE25'!L234+'DOE25'!L277+'DOE25'!L296+'DOE25'!L315,0)</f>
        <v>3117348</v>
      </c>
      <c r="D11" s="180">
        <f>ROUND((C11/$C$28)*100,1)</f>
        <v>20</v>
      </c>
    </row>
    <row r="12" spans="1:4" x14ac:dyDescent="0.2">
      <c r="A12">
        <v>1300</v>
      </c>
      <c r="B12" t="s">
        <v>702</v>
      </c>
      <c r="C12" s="177">
        <f>ROUND('DOE25'!L199+'DOE25'!L217+'DOE25'!L235+'DOE25'!L278+'DOE25'!L297+'DOE25'!L316,0)</f>
        <v>59275</v>
      </c>
      <c r="D12" s="180">
        <f>ROUND((C12/$C$28)*100,1)</f>
        <v>0.4</v>
      </c>
    </row>
    <row r="13" spans="1:4" x14ac:dyDescent="0.2">
      <c r="A13">
        <v>1400</v>
      </c>
      <c r="B13" t="s">
        <v>703</v>
      </c>
      <c r="C13" s="177">
        <f>ROUND('DOE25'!L200+'DOE25'!L218+'DOE25'!L236+'DOE25'!L279+'DOE25'!L298+'DOE25'!L317,0)</f>
        <v>165185</v>
      </c>
      <c r="D13" s="180">
        <f>ROUND((C13/$C$28)*100,1)</f>
        <v>1.1000000000000001</v>
      </c>
    </row>
    <row r="14" spans="1:4" x14ac:dyDescent="0.2">
      <c r="D14" s="180"/>
    </row>
    <row r="15" spans="1:4" x14ac:dyDescent="0.2">
      <c r="A15">
        <v>2100</v>
      </c>
      <c r="B15" t="s">
        <v>704</v>
      </c>
      <c r="C15" s="177">
        <f>ROUND('DOE25'!L202+'DOE25'!L220+'DOE25'!L238+'DOE25'!L281+'DOE25'!L300+'DOE25'!L319,0)</f>
        <v>1258040</v>
      </c>
      <c r="D15" s="180">
        <f t="shared" ref="D15:D27" si="0">ROUND((C15/$C$28)*100,1)</f>
        <v>8.1</v>
      </c>
    </row>
    <row r="16" spans="1:4" x14ac:dyDescent="0.2">
      <c r="A16">
        <v>2200</v>
      </c>
      <c r="B16" t="s">
        <v>705</v>
      </c>
      <c r="C16" s="177">
        <f>ROUND('DOE25'!L203+'DOE25'!L221+'DOE25'!L239+'DOE25'!L282+'DOE25'!L301+'DOE25'!L320,0)</f>
        <v>542143</v>
      </c>
      <c r="D16" s="180">
        <f t="shared" si="0"/>
        <v>3.5</v>
      </c>
    </row>
    <row r="17" spans="1:4" x14ac:dyDescent="0.2">
      <c r="A17" s="181" t="s">
        <v>721</v>
      </c>
      <c r="B17" t="s">
        <v>736</v>
      </c>
      <c r="C17" s="177">
        <f>ROUND('DOE25'!L204+'DOE25'!L209+'DOE25'!L222+'DOE25'!L227+'DOE25'!L240+'DOE25'!L245+'DOE25'!L283+'DOE25'!L288+'DOE25'!L302+'DOE25'!L307+'DOE25'!L321+'DOE25'!L326,0)</f>
        <v>1210111</v>
      </c>
      <c r="D17" s="180">
        <f t="shared" si="0"/>
        <v>7.8</v>
      </c>
    </row>
    <row r="18" spans="1:4" x14ac:dyDescent="0.2">
      <c r="A18">
        <v>2400</v>
      </c>
      <c r="B18" t="s">
        <v>709</v>
      </c>
      <c r="C18" s="177">
        <f>ROUND('DOE25'!L205+'DOE25'!L223+'DOE25'!L241+'DOE25'!L284+'DOE25'!L303+'DOE25'!L322,0)</f>
        <v>1033513</v>
      </c>
      <c r="D18" s="180">
        <f t="shared" si="0"/>
        <v>6.6</v>
      </c>
    </row>
    <row r="19" spans="1:4" x14ac:dyDescent="0.2">
      <c r="A19">
        <v>2500</v>
      </c>
      <c r="B19" t="s">
        <v>706</v>
      </c>
      <c r="C19" s="177">
        <f>ROUND('DOE25'!L206+'DOE25'!L224+'DOE25'!L242+'DOE25'!L285+'DOE25'!L304+'DOE25'!L323,0)</f>
        <v>0</v>
      </c>
      <c r="D19" s="180">
        <f t="shared" si="0"/>
        <v>0</v>
      </c>
    </row>
    <row r="20" spans="1:4" x14ac:dyDescent="0.2">
      <c r="A20">
        <v>2600</v>
      </c>
      <c r="B20" t="s">
        <v>707</v>
      </c>
      <c r="C20" s="177">
        <f>ROUND('DOE25'!L207+'DOE25'!L225+'DOE25'!L243+'DOE25'!L286+'DOE25'!L305+'DOE25'!L324,0)</f>
        <v>1499295</v>
      </c>
      <c r="D20" s="180">
        <f t="shared" si="0"/>
        <v>9.6</v>
      </c>
    </row>
    <row r="21" spans="1:4" x14ac:dyDescent="0.2">
      <c r="A21">
        <v>2700</v>
      </c>
      <c r="B21" t="s">
        <v>708</v>
      </c>
      <c r="C21" s="177">
        <f>ROUND('DOE25'!L208+'DOE25'!L226+'DOE25'!L244+'DOE25'!L287+'DOE25'!L306+'DOE25'!L325,0)</f>
        <v>508557</v>
      </c>
      <c r="D21" s="180">
        <f t="shared" si="0"/>
        <v>3.3</v>
      </c>
    </row>
    <row r="22" spans="1:4" x14ac:dyDescent="0.2">
      <c r="A22">
        <v>2900</v>
      </c>
      <c r="B22" t="s">
        <v>710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712</v>
      </c>
      <c r="C23" s="177">
        <f>ROUND('DOE25'!L250+'DOE25'!L332,0)</f>
        <v>0</v>
      </c>
      <c r="D23" s="180">
        <f t="shared" si="0"/>
        <v>0</v>
      </c>
    </row>
    <row r="24" spans="1:4" x14ac:dyDescent="0.2">
      <c r="A24" s="181" t="s">
        <v>720</v>
      </c>
      <c r="B24" t="s">
        <v>713</v>
      </c>
      <c r="C24" s="177">
        <f>ROUND('DOE25'!L251+'DOE25'!L252+'DOE25'!L253+'DOE25'!L254+'DOE25'!L333+'DOE25'!L334+'DOE25'!L335,0)</f>
        <v>0</v>
      </c>
      <c r="D24" s="180">
        <f t="shared" si="0"/>
        <v>0</v>
      </c>
    </row>
    <row r="25" spans="1:4" x14ac:dyDescent="0.2">
      <c r="A25">
        <v>5120</v>
      </c>
      <c r="B25" t="s">
        <v>714</v>
      </c>
      <c r="C25" s="177">
        <f>ROUND('DOE25'!L261+'DOE25'!L342,0)</f>
        <v>0</v>
      </c>
      <c r="D25" s="180">
        <f t="shared" si="0"/>
        <v>0</v>
      </c>
    </row>
    <row r="26" spans="1:4" x14ac:dyDescent="0.2">
      <c r="A26" s="181" t="s">
        <v>715</v>
      </c>
      <c r="B26" t="s">
        <v>716</v>
      </c>
      <c r="C26" s="177">
        <f>'DOE25'!L268+'DOE25'!L269+'DOE25'!L349+'DOE25'!L350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ROUND('DOE25'!L362-'DOE25'!L361,0)-SUM('DOE25'!G97:G110)</f>
        <v>316787.46999999997</v>
      </c>
      <c r="D27" s="180">
        <f t="shared" si="0"/>
        <v>2</v>
      </c>
    </row>
    <row r="28" spans="1:4" x14ac:dyDescent="0.2">
      <c r="B28" s="185" t="s">
        <v>717</v>
      </c>
      <c r="C28" s="178">
        <f>SUM(C10:C27)</f>
        <v>15576423.470000001</v>
      </c>
      <c r="D28" s="182">
        <f>ROUND(SUM(D10:D27),0)</f>
        <v>100</v>
      </c>
    </row>
    <row r="29" spans="1:4" x14ac:dyDescent="0.2">
      <c r="A29">
        <v>4000</v>
      </c>
      <c r="B29" t="s">
        <v>722</v>
      </c>
      <c r="C29" s="177">
        <f>ROUND('DOE25'!L255+'DOE25'!L336+'DOE25'!L374+'DOE25'!L375+'DOE25'!L376+'DOE25'!L377+'DOE25'!L378+'DOE25'!L379+'DOE25'!L380,0)</f>
        <v>0</v>
      </c>
    </row>
    <row r="30" spans="1:4" x14ac:dyDescent="0.2">
      <c r="B30" s="185" t="s">
        <v>723</v>
      </c>
      <c r="C30" s="178">
        <f>SUM(C28:C29)</f>
        <v>15576423.470000001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724</v>
      </c>
      <c r="C32" s="178">
        <f>ROUND('DOE25'!L260+'DOE25'!L341,0)</f>
        <v>0</v>
      </c>
    </row>
    <row r="34" spans="1:4" x14ac:dyDescent="0.2">
      <c r="A34" s="185" t="s">
        <v>94</v>
      </c>
      <c r="B34" s="186" t="s">
        <v>911</v>
      </c>
      <c r="C34" s="179" t="s">
        <v>718</v>
      </c>
      <c r="D34" s="179" t="s">
        <v>719</v>
      </c>
    </row>
    <row r="35" spans="1:4" x14ac:dyDescent="0.2">
      <c r="A35">
        <v>1100</v>
      </c>
      <c r="B35" s="183" t="s">
        <v>725</v>
      </c>
      <c r="C35" s="177">
        <f>ROUND('DOE25'!F60+'DOE25'!G60+'DOE25'!H60+'DOE25'!I60+'DOE25'!J60,0)</f>
        <v>7074095</v>
      </c>
      <c r="D35" s="180">
        <f t="shared" ref="D35:D40" si="1">ROUND((C35/$C$41)*100,1)</f>
        <v>44.9</v>
      </c>
    </row>
    <row r="36" spans="1:4" x14ac:dyDescent="0.2">
      <c r="B36" s="183" t="s">
        <v>737</v>
      </c>
      <c r="C36" s="177">
        <f>SUM('DOE25'!F112:J112)-SUM('DOE25'!G97:G110)+('DOE25'!F174+'DOE25'!F175+'DOE25'!I174+'DOE25'!I175)-C35</f>
        <v>87630.949999999255</v>
      </c>
      <c r="D36" s="180">
        <f t="shared" si="1"/>
        <v>0.6</v>
      </c>
    </row>
    <row r="37" spans="1:4" x14ac:dyDescent="0.2">
      <c r="A37" s="181" t="s">
        <v>845</v>
      </c>
      <c r="B37" s="183" t="s">
        <v>726</v>
      </c>
      <c r="C37" s="177">
        <f>ROUND('DOE25'!F117+'DOE25'!F118,0)</f>
        <v>6840488</v>
      </c>
      <c r="D37" s="180">
        <f t="shared" si="1"/>
        <v>43.4</v>
      </c>
    </row>
    <row r="38" spans="1:4" x14ac:dyDescent="0.2">
      <c r="A38" s="181" t="s">
        <v>732</v>
      </c>
      <c r="B38" s="183" t="s">
        <v>727</v>
      </c>
      <c r="C38" s="177">
        <f>ROUND(SUM('DOE25'!F140:J140)-SUM('DOE25'!F117:F119),0)</f>
        <v>108414</v>
      </c>
      <c r="D38" s="180">
        <f t="shared" si="1"/>
        <v>0.7</v>
      </c>
    </row>
    <row r="39" spans="1:4" x14ac:dyDescent="0.2">
      <c r="A39">
        <v>4000</v>
      </c>
      <c r="B39" s="183" t="s">
        <v>728</v>
      </c>
      <c r="C39" s="177">
        <f>ROUND('DOE25'!F169+'DOE25'!G169+'DOE25'!H169+'DOE25'!I169,0)</f>
        <v>1661042</v>
      </c>
      <c r="D39" s="180">
        <f t="shared" si="1"/>
        <v>10.5</v>
      </c>
    </row>
    <row r="40" spans="1:4" x14ac:dyDescent="0.2">
      <c r="A40" s="181" t="s">
        <v>733</v>
      </c>
      <c r="B40" s="183" t="s">
        <v>729</v>
      </c>
      <c r="C40" s="177">
        <f>ROUND(SUM('DOE25'!F189:F191)+SUM('DOE25'!G189:G191)+SUM('DOE25'!H189:H191)+SUM('DOE25'!I189:I191),0)</f>
        <v>0</v>
      </c>
      <c r="D40" s="180">
        <f t="shared" si="1"/>
        <v>0</v>
      </c>
    </row>
    <row r="41" spans="1:4" x14ac:dyDescent="0.2">
      <c r="B41" s="185" t="s">
        <v>730</v>
      </c>
      <c r="C41" s="178">
        <f>SUM(C35:C40)</f>
        <v>15771669.949999999</v>
      </c>
      <c r="D41" s="182">
        <f>SUM(D35:D40)</f>
        <v>100.10000000000001</v>
      </c>
    </row>
    <row r="42" spans="1:4" x14ac:dyDescent="0.2">
      <c r="A42" s="181" t="s">
        <v>735</v>
      </c>
      <c r="B42" s="183" t="s">
        <v>731</v>
      </c>
      <c r="C42" s="177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28" sqref="C28:M2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2" t="s">
        <v>764</v>
      </c>
      <c r="B1" s="293"/>
      <c r="C1" s="293"/>
      <c r="D1" s="293"/>
      <c r="E1" s="293"/>
      <c r="F1" s="293"/>
      <c r="G1" s="293"/>
      <c r="H1" s="293"/>
      <c r="I1" s="293"/>
      <c r="J1" s="211"/>
      <c r="K1" s="211"/>
      <c r="L1" s="211"/>
      <c r="M1" s="212"/>
    </row>
    <row r="2" spans="1:26" ht="12.75" x14ac:dyDescent="0.2">
      <c r="A2" s="298" t="s">
        <v>761</v>
      </c>
      <c r="B2" s="299"/>
      <c r="C2" s="299"/>
      <c r="D2" s="299"/>
      <c r="E2" s="299"/>
      <c r="F2" s="296" t="str">
        <f>'DOE25'!A2</f>
        <v>Farmington</v>
      </c>
      <c r="G2" s="297"/>
      <c r="H2" s="297"/>
      <c r="I2" s="297"/>
      <c r="J2" s="52"/>
      <c r="K2" s="52"/>
      <c r="L2" s="52"/>
      <c r="M2" s="213"/>
    </row>
    <row r="3" spans="1:26" x14ac:dyDescent="0.2">
      <c r="A3" s="214" t="s">
        <v>762</v>
      </c>
      <c r="B3" s="215" t="s">
        <v>763</v>
      </c>
      <c r="C3" s="294" t="s">
        <v>765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 x14ac:dyDescent="0.2">
      <c r="A4" s="216"/>
      <c r="B4" s="217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6"/>
      <c r="B5" s="217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6"/>
      <c r="B6" s="217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6"/>
      <c r="B7" s="217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6"/>
      <c r="B8" s="217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6"/>
      <c r="B9" s="217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6"/>
      <c r="B10" s="217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6"/>
      <c r="B11" s="217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6"/>
      <c r="B12" s="217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6"/>
      <c r="B13" s="217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6"/>
      <c r="B14" s="217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6"/>
      <c r="B15" s="217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6"/>
      <c r="B16" s="217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6"/>
      <c r="B17" s="217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6"/>
      <c r="B18" s="217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6"/>
      <c r="B19" s="217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6"/>
      <c r="B20" s="217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6"/>
      <c r="B21" s="217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6"/>
      <c r="B22" s="217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6"/>
      <c r="B23" s="217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6"/>
      <c r="B24" s="217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6"/>
      <c r="B25" s="217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6"/>
      <c r="B26" s="217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6"/>
      <c r="B27" s="217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6"/>
      <c r="B28" s="217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6"/>
      <c r="B29" s="217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09"/>
      <c r="O29" s="209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05"/>
      <c r="AB29" s="205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5"/>
      <c r="AO29" s="205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5"/>
      <c r="BB29" s="205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5"/>
      <c r="BO29" s="205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5"/>
      <c r="CB29" s="205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5"/>
      <c r="CO29" s="205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5"/>
      <c r="DB29" s="205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5"/>
      <c r="DO29" s="205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5"/>
      <c r="EB29" s="205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5"/>
      <c r="EO29" s="205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5"/>
      <c r="FB29" s="205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5"/>
      <c r="FO29" s="205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5"/>
      <c r="GB29" s="205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5"/>
      <c r="GO29" s="205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5"/>
      <c r="HB29" s="205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5"/>
      <c r="HO29" s="205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5"/>
      <c r="IB29" s="205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5"/>
      <c r="IO29" s="205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6"/>
      <c r="B30" s="217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09"/>
      <c r="O30" s="209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05"/>
      <c r="AB30" s="205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5"/>
      <c r="AO30" s="205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5"/>
      <c r="BB30" s="205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5"/>
      <c r="BO30" s="205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5"/>
      <c r="CB30" s="205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5"/>
      <c r="CO30" s="205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5"/>
      <c r="DB30" s="205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5"/>
      <c r="DO30" s="205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5"/>
      <c r="EB30" s="205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5"/>
      <c r="EO30" s="205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5"/>
      <c r="FB30" s="205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5"/>
      <c r="FO30" s="205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5"/>
      <c r="GB30" s="205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5"/>
      <c r="GO30" s="205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5"/>
      <c r="HB30" s="205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5"/>
      <c r="HO30" s="205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5"/>
      <c r="IB30" s="205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5"/>
      <c r="IO30" s="205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6"/>
      <c r="B31" s="217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09"/>
      <c r="O31" s="209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05"/>
      <c r="AB31" s="205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5"/>
      <c r="AO31" s="205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5"/>
      <c r="BB31" s="205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5"/>
      <c r="BO31" s="205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5"/>
      <c r="CB31" s="205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5"/>
      <c r="CO31" s="205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5"/>
      <c r="DB31" s="205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5"/>
      <c r="DO31" s="205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5"/>
      <c r="EB31" s="205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5"/>
      <c r="EO31" s="205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5"/>
      <c r="FB31" s="205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5"/>
      <c r="FO31" s="205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5"/>
      <c r="GB31" s="205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5"/>
      <c r="GO31" s="205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5"/>
      <c r="HB31" s="205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5"/>
      <c r="HO31" s="205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5"/>
      <c r="IB31" s="205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5"/>
      <c r="IO31" s="205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6"/>
      <c r="B32" s="217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1"/>
      <c r="O32" s="221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6"/>
      <c r="AB32" s="217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6"/>
      <c r="AO32" s="217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6"/>
      <c r="BB32" s="217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6"/>
      <c r="BO32" s="217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6"/>
      <c r="CB32" s="217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6"/>
      <c r="CO32" s="217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6"/>
      <c r="DB32" s="217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6"/>
      <c r="DO32" s="217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6"/>
      <c r="EB32" s="217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6"/>
      <c r="EO32" s="217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6"/>
      <c r="FB32" s="217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6"/>
      <c r="FO32" s="217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6"/>
      <c r="GB32" s="217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6"/>
      <c r="GO32" s="217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6"/>
      <c r="HB32" s="217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6"/>
      <c r="HO32" s="217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6"/>
      <c r="IB32" s="217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6"/>
      <c r="IO32" s="217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6"/>
      <c r="B33" s="217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09"/>
      <c r="O33" s="209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05"/>
      <c r="AB33" s="205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05"/>
      <c r="AO33" s="205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05"/>
      <c r="BB33" s="205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05"/>
      <c r="BO33" s="205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05"/>
      <c r="CB33" s="205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05"/>
      <c r="CO33" s="205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05"/>
      <c r="DB33" s="205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05"/>
      <c r="DO33" s="205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05"/>
      <c r="EB33" s="205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05"/>
      <c r="EO33" s="205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05"/>
      <c r="FB33" s="205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05"/>
      <c r="FO33" s="205"/>
      <c r="FP33" s="210"/>
      <c r="FQ33" s="210"/>
      <c r="FR33" s="210"/>
      <c r="FS33" s="210"/>
      <c r="FT33" s="210"/>
      <c r="FU33" s="210"/>
      <c r="FV33" s="210"/>
      <c r="FW33" s="210"/>
      <c r="FX33" s="210"/>
      <c r="FY33" s="210"/>
      <c r="FZ33" s="210"/>
      <c r="GA33" s="205"/>
      <c r="GB33" s="205"/>
      <c r="GC33" s="210"/>
      <c r="GD33" s="210"/>
      <c r="GE33" s="210"/>
      <c r="GF33" s="210"/>
      <c r="GG33" s="210"/>
      <c r="GH33" s="210"/>
      <c r="GI33" s="210"/>
      <c r="GJ33" s="210"/>
      <c r="GK33" s="210"/>
      <c r="GL33" s="210"/>
      <c r="GM33" s="210"/>
      <c r="GN33" s="205"/>
      <c r="GO33" s="205"/>
      <c r="GP33" s="210"/>
      <c r="GQ33" s="210"/>
      <c r="GR33" s="210"/>
      <c r="GS33" s="210"/>
      <c r="GT33" s="210"/>
      <c r="GU33" s="210"/>
      <c r="GV33" s="210"/>
      <c r="GW33" s="210"/>
      <c r="GX33" s="210"/>
      <c r="GY33" s="210"/>
      <c r="GZ33" s="210"/>
      <c r="HA33" s="205"/>
      <c r="HB33" s="205"/>
      <c r="HC33" s="210"/>
      <c r="HD33" s="210"/>
      <c r="HE33" s="210"/>
      <c r="HF33" s="210"/>
      <c r="HG33" s="210"/>
      <c r="HH33" s="210"/>
      <c r="HI33" s="210"/>
      <c r="HJ33" s="210"/>
      <c r="HK33" s="210"/>
      <c r="HL33" s="210"/>
      <c r="HM33" s="210"/>
      <c r="HN33" s="205"/>
      <c r="HO33" s="205"/>
      <c r="HP33" s="210"/>
      <c r="HQ33" s="210"/>
      <c r="HR33" s="210"/>
      <c r="HS33" s="210"/>
      <c r="HT33" s="210"/>
      <c r="HU33" s="210"/>
      <c r="HV33" s="210"/>
      <c r="HW33" s="210"/>
      <c r="HX33" s="210"/>
      <c r="HY33" s="210"/>
      <c r="HZ33" s="210"/>
      <c r="IA33" s="205"/>
      <c r="IB33" s="205"/>
      <c r="IC33" s="210"/>
      <c r="ID33" s="210"/>
      <c r="IE33" s="210"/>
      <c r="IF33" s="210"/>
      <c r="IG33" s="210"/>
      <c r="IH33" s="210"/>
      <c r="II33" s="210"/>
      <c r="IJ33" s="210"/>
      <c r="IK33" s="210"/>
      <c r="IL33" s="210"/>
      <c r="IM33" s="210"/>
      <c r="IN33" s="205"/>
      <c r="IO33" s="205"/>
      <c r="IP33" s="210"/>
      <c r="IQ33" s="210"/>
      <c r="IR33" s="210"/>
      <c r="IS33" s="210"/>
      <c r="IT33" s="210"/>
      <c r="IU33" s="210"/>
      <c r="IV33" s="210"/>
    </row>
    <row r="34" spans="1:256" x14ac:dyDescent="0.2">
      <c r="A34" s="216"/>
      <c r="B34" s="217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09"/>
      <c r="O34" s="209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05"/>
      <c r="AB34" s="205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05"/>
      <c r="AO34" s="205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05"/>
      <c r="BB34" s="205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05"/>
      <c r="BO34" s="205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05"/>
      <c r="CB34" s="205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05"/>
      <c r="CO34" s="205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05"/>
      <c r="DB34" s="205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05"/>
      <c r="DO34" s="205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05"/>
      <c r="EB34" s="205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05"/>
      <c r="EO34" s="205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05"/>
      <c r="FB34" s="205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05"/>
      <c r="FO34" s="205"/>
      <c r="FP34" s="210"/>
      <c r="FQ34" s="210"/>
      <c r="FR34" s="210"/>
      <c r="FS34" s="210"/>
      <c r="FT34" s="210"/>
      <c r="FU34" s="210"/>
      <c r="FV34" s="210"/>
      <c r="FW34" s="210"/>
      <c r="FX34" s="210"/>
      <c r="FY34" s="210"/>
      <c r="FZ34" s="210"/>
      <c r="GA34" s="205"/>
      <c r="GB34" s="205"/>
      <c r="GC34" s="210"/>
      <c r="GD34" s="210"/>
      <c r="GE34" s="210"/>
      <c r="GF34" s="210"/>
      <c r="GG34" s="210"/>
      <c r="GH34" s="210"/>
      <c r="GI34" s="210"/>
      <c r="GJ34" s="210"/>
      <c r="GK34" s="210"/>
      <c r="GL34" s="210"/>
      <c r="GM34" s="210"/>
      <c r="GN34" s="205"/>
      <c r="GO34" s="205"/>
      <c r="GP34" s="210"/>
      <c r="GQ34" s="210"/>
      <c r="GR34" s="210"/>
      <c r="GS34" s="210"/>
      <c r="GT34" s="210"/>
      <c r="GU34" s="210"/>
      <c r="GV34" s="210"/>
      <c r="GW34" s="210"/>
      <c r="GX34" s="210"/>
      <c r="GY34" s="210"/>
      <c r="GZ34" s="210"/>
      <c r="HA34" s="205"/>
      <c r="HB34" s="205"/>
      <c r="HC34" s="210"/>
      <c r="HD34" s="210"/>
      <c r="HE34" s="210"/>
      <c r="HF34" s="210"/>
      <c r="HG34" s="210"/>
      <c r="HH34" s="210"/>
      <c r="HI34" s="210"/>
      <c r="HJ34" s="210"/>
      <c r="HK34" s="210"/>
      <c r="HL34" s="210"/>
      <c r="HM34" s="210"/>
      <c r="HN34" s="205"/>
      <c r="HO34" s="205"/>
      <c r="HP34" s="210"/>
      <c r="HQ34" s="210"/>
      <c r="HR34" s="210"/>
      <c r="HS34" s="210"/>
      <c r="HT34" s="210"/>
      <c r="HU34" s="210"/>
      <c r="HV34" s="210"/>
      <c r="HW34" s="210"/>
      <c r="HX34" s="210"/>
      <c r="HY34" s="210"/>
      <c r="HZ34" s="210"/>
      <c r="IA34" s="205"/>
      <c r="IB34" s="205"/>
      <c r="IC34" s="210"/>
      <c r="ID34" s="210"/>
      <c r="IE34" s="210"/>
      <c r="IF34" s="210"/>
      <c r="IG34" s="210"/>
      <c r="IH34" s="210"/>
      <c r="II34" s="210"/>
      <c r="IJ34" s="210"/>
      <c r="IK34" s="210"/>
      <c r="IL34" s="210"/>
      <c r="IM34" s="210"/>
      <c r="IN34" s="205"/>
      <c r="IO34" s="205"/>
      <c r="IP34" s="210"/>
      <c r="IQ34" s="210"/>
      <c r="IR34" s="210"/>
      <c r="IS34" s="210"/>
      <c r="IT34" s="210"/>
      <c r="IU34" s="210"/>
      <c r="IV34" s="210"/>
    </row>
    <row r="35" spans="1:256" x14ac:dyDescent="0.2">
      <c r="A35" s="216"/>
      <c r="B35" s="217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09"/>
      <c r="O35" s="209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05"/>
      <c r="AB35" s="205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05"/>
      <c r="AO35" s="205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05"/>
      <c r="BB35" s="205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05"/>
      <c r="BO35" s="205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05"/>
      <c r="CB35" s="205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05"/>
      <c r="CO35" s="205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05"/>
      <c r="DB35" s="205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05"/>
      <c r="DO35" s="205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05"/>
      <c r="EB35" s="205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05"/>
      <c r="EO35" s="205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05"/>
      <c r="FB35" s="205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05"/>
      <c r="FO35" s="205"/>
      <c r="FP35" s="210"/>
      <c r="FQ35" s="210"/>
      <c r="FR35" s="210"/>
      <c r="FS35" s="210"/>
      <c r="FT35" s="210"/>
      <c r="FU35" s="210"/>
      <c r="FV35" s="210"/>
      <c r="FW35" s="210"/>
      <c r="FX35" s="210"/>
      <c r="FY35" s="210"/>
      <c r="FZ35" s="210"/>
      <c r="GA35" s="205"/>
      <c r="GB35" s="205"/>
      <c r="GC35" s="210"/>
      <c r="GD35" s="210"/>
      <c r="GE35" s="210"/>
      <c r="GF35" s="210"/>
      <c r="GG35" s="210"/>
      <c r="GH35" s="210"/>
      <c r="GI35" s="210"/>
      <c r="GJ35" s="210"/>
      <c r="GK35" s="210"/>
      <c r="GL35" s="210"/>
      <c r="GM35" s="210"/>
      <c r="GN35" s="205"/>
      <c r="GO35" s="205"/>
      <c r="GP35" s="210"/>
      <c r="GQ35" s="210"/>
      <c r="GR35" s="210"/>
      <c r="GS35" s="210"/>
      <c r="GT35" s="210"/>
      <c r="GU35" s="210"/>
      <c r="GV35" s="210"/>
      <c r="GW35" s="210"/>
      <c r="GX35" s="210"/>
      <c r="GY35" s="210"/>
      <c r="GZ35" s="210"/>
      <c r="HA35" s="205"/>
      <c r="HB35" s="205"/>
      <c r="HC35" s="210"/>
      <c r="HD35" s="210"/>
      <c r="HE35" s="210"/>
      <c r="HF35" s="210"/>
      <c r="HG35" s="210"/>
      <c r="HH35" s="210"/>
      <c r="HI35" s="210"/>
      <c r="HJ35" s="210"/>
      <c r="HK35" s="210"/>
      <c r="HL35" s="210"/>
      <c r="HM35" s="210"/>
      <c r="HN35" s="205"/>
      <c r="HO35" s="205"/>
      <c r="HP35" s="210"/>
      <c r="HQ35" s="210"/>
      <c r="HR35" s="210"/>
      <c r="HS35" s="210"/>
      <c r="HT35" s="210"/>
      <c r="HU35" s="210"/>
      <c r="HV35" s="210"/>
      <c r="HW35" s="210"/>
      <c r="HX35" s="210"/>
      <c r="HY35" s="210"/>
      <c r="HZ35" s="210"/>
      <c r="IA35" s="205"/>
      <c r="IB35" s="205"/>
      <c r="IC35" s="210"/>
      <c r="ID35" s="210"/>
      <c r="IE35" s="210"/>
      <c r="IF35" s="210"/>
      <c r="IG35" s="210"/>
      <c r="IH35" s="210"/>
      <c r="II35" s="210"/>
      <c r="IJ35" s="210"/>
      <c r="IK35" s="210"/>
      <c r="IL35" s="210"/>
      <c r="IM35" s="210"/>
      <c r="IN35" s="205"/>
      <c r="IO35" s="205"/>
      <c r="IP35" s="210"/>
      <c r="IQ35" s="210"/>
      <c r="IR35" s="210"/>
      <c r="IS35" s="210"/>
      <c r="IT35" s="210"/>
      <c r="IU35" s="210"/>
      <c r="IV35" s="210"/>
    </row>
    <row r="36" spans="1:256" x14ac:dyDescent="0.2">
      <c r="A36" s="216"/>
      <c r="B36" s="217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09"/>
      <c r="O36" s="209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05"/>
      <c r="AB36" s="205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05"/>
      <c r="AO36" s="205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05"/>
      <c r="BB36" s="205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05"/>
      <c r="BO36" s="205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05"/>
      <c r="CB36" s="205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05"/>
      <c r="CO36" s="205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05"/>
      <c r="DB36" s="205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05"/>
      <c r="DO36" s="205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05"/>
      <c r="EB36" s="205"/>
      <c r="EC36" s="210"/>
      <c r="ED36" s="210"/>
      <c r="EE36" s="210"/>
      <c r="EF36" s="210"/>
      <c r="EG36" s="210"/>
      <c r="EH36" s="210"/>
      <c r="EI36" s="210"/>
      <c r="EJ36" s="210"/>
      <c r="EK36" s="210"/>
      <c r="EL36" s="210"/>
      <c r="EM36" s="210"/>
      <c r="EN36" s="205"/>
      <c r="EO36" s="205"/>
      <c r="EP36" s="210"/>
      <c r="EQ36" s="210"/>
      <c r="ER36" s="210"/>
      <c r="ES36" s="210"/>
      <c r="ET36" s="210"/>
      <c r="EU36" s="210"/>
      <c r="EV36" s="210"/>
      <c r="EW36" s="210"/>
      <c r="EX36" s="210"/>
      <c r="EY36" s="210"/>
      <c r="EZ36" s="210"/>
      <c r="FA36" s="205"/>
      <c r="FB36" s="205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05"/>
      <c r="FO36" s="205"/>
      <c r="FP36" s="210"/>
      <c r="FQ36" s="210"/>
      <c r="FR36" s="210"/>
      <c r="FS36" s="210"/>
      <c r="FT36" s="210"/>
      <c r="FU36" s="210"/>
      <c r="FV36" s="210"/>
      <c r="FW36" s="210"/>
      <c r="FX36" s="210"/>
      <c r="FY36" s="210"/>
      <c r="FZ36" s="210"/>
      <c r="GA36" s="205"/>
      <c r="GB36" s="205"/>
      <c r="GC36" s="210"/>
      <c r="GD36" s="210"/>
      <c r="GE36" s="210"/>
      <c r="GF36" s="210"/>
      <c r="GG36" s="210"/>
      <c r="GH36" s="210"/>
      <c r="GI36" s="210"/>
      <c r="GJ36" s="210"/>
      <c r="GK36" s="210"/>
      <c r="GL36" s="210"/>
      <c r="GM36" s="210"/>
      <c r="GN36" s="205"/>
      <c r="GO36" s="205"/>
      <c r="GP36" s="210"/>
      <c r="GQ36" s="210"/>
      <c r="GR36" s="210"/>
      <c r="GS36" s="210"/>
      <c r="GT36" s="210"/>
      <c r="GU36" s="210"/>
      <c r="GV36" s="210"/>
      <c r="GW36" s="210"/>
      <c r="GX36" s="210"/>
      <c r="GY36" s="210"/>
      <c r="GZ36" s="210"/>
      <c r="HA36" s="205"/>
      <c r="HB36" s="205"/>
      <c r="HC36" s="210"/>
      <c r="HD36" s="210"/>
      <c r="HE36" s="210"/>
      <c r="HF36" s="210"/>
      <c r="HG36" s="210"/>
      <c r="HH36" s="210"/>
      <c r="HI36" s="210"/>
      <c r="HJ36" s="210"/>
      <c r="HK36" s="210"/>
      <c r="HL36" s="210"/>
      <c r="HM36" s="210"/>
      <c r="HN36" s="205"/>
      <c r="HO36" s="205"/>
      <c r="HP36" s="210"/>
      <c r="HQ36" s="210"/>
      <c r="HR36" s="210"/>
      <c r="HS36" s="210"/>
      <c r="HT36" s="210"/>
      <c r="HU36" s="210"/>
      <c r="HV36" s="210"/>
      <c r="HW36" s="210"/>
      <c r="HX36" s="210"/>
      <c r="HY36" s="210"/>
      <c r="HZ36" s="210"/>
      <c r="IA36" s="205"/>
      <c r="IB36" s="205"/>
      <c r="IC36" s="210"/>
      <c r="ID36" s="210"/>
      <c r="IE36" s="210"/>
      <c r="IF36" s="210"/>
      <c r="IG36" s="210"/>
      <c r="IH36" s="210"/>
      <c r="II36" s="210"/>
      <c r="IJ36" s="210"/>
      <c r="IK36" s="210"/>
      <c r="IL36" s="210"/>
      <c r="IM36" s="210"/>
      <c r="IN36" s="205"/>
      <c r="IO36" s="205"/>
      <c r="IP36" s="210"/>
      <c r="IQ36" s="210"/>
      <c r="IR36" s="210"/>
      <c r="IS36" s="210"/>
      <c r="IT36" s="210"/>
      <c r="IU36" s="210"/>
      <c r="IV36" s="210"/>
    </row>
    <row r="37" spans="1:256" x14ac:dyDescent="0.2">
      <c r="A37" s="216"/>
      <c r="B37" s="217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09"/>
      <c r="O37" s="209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05"/>
      <c r="AB37" s="205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05"/>
      <c r="AO37" s="205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05"/>
      <c r="BB37" s="205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05"/>
      <c r="BO37" s="205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05"/>
      <c r="CB37" s="205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05"/>
      <c r="CO37" s="205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05"/>
      <c r="DB37" s="205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05"/>
      <c r="DO37" s="205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05"/>
      <c r="EB37" s="205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05"/>
      <c r="EO37" s="205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05"/>
      <c r="FB37" s="205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05"/>
      <c r="FO37" s="205"/>
      <c r="FP37" s="210"/>
      <c r="FQ37" s="210"/>
      <c r="FR37" s="210"/>
      <c r="FS37" s="210"/>
      <c r="FT37" s="210"/>
      <c r="FU37" s="210"/>
      <c r="FV37" s="210"/>
      <c r="FW37" s="210"/>
      <c r="FX37" s="210"/>
      <c r="FY37" s="210"/>
      <c r="FZ37" s="210"/>
      <c r="GA37" s="205"/>
      <c r="GB37" s="205"/>
      <c r="GC37" s="210"/>
      <c r="GD37" s="210"/>
      <c r="GE37" s="210"/>
      <c r="GF37" s="210"/>
      <c r="GG37" s="210"/>
      <c r="GH37" s="210"/>
      <c r="GI37" s="210"/>
      <c r="GJ37" s="210"/>
      <c r="GK37" s="210"/>
      <c r="GL37" s="210"/>
      <c r="GM37" s="210"/>
      <c r="GN37" s="205"/>
      <c r="GO37" s="205"/>
      <c r="GP37" s="210"/>
      <c r="GQ37" s="210"/>
      <c r="GR37" s="210"/>
      <c r="GS37" s="210"/>
      <c r="GT37" s="210"/>
      <c r="GU37" s="210"/>
      <c r="GV37" s="210"/>
      <c r="GW37" s="210"/>
      <c r="GX37" s="210"/>
      <c r="GY37" s="210"/>
      <c r="GZ37" s="210"/>
      <c r="HA37" s="205"/>
      <c r="HB37" s="205"/>
      <c r="HC37" s="210"/>
      <c r="HD37" s="210"/>
      <c r="HE37" s="210"/>
      <c r="HF37" s="210"/>
      <c r="HG37" s="210"/>
      <c r="HH37" s="210"/>
      <c r="HI37" s="210"/>
      <c r="HJ37" s="210"/>
      <c r="HK37" s="210"/>
      <c r="HL37" s="210"/>
      <c r="HM37" s="210"/>
      <c r="HN37" s="205"/>
      <c r="HO37" s="205"/>
      <c r="HP37" s="210"/>
      <c r="HQ37" s="210"/>
      <c r="HR37" s="210"/>
      <c r="HS37" s="210"/>
      <c r="HT37" s="210"/>
      <c r="HU37" s="210"/>
      <c r="HV37" s="210"/>
      <c r="HW37" s="210"/>
      <c r="HX37" s="210"/>
      <c r="HY37" s="210"/>
      <c r="HZ37" s="210"/>
      <c r="IA37" s="205"/>
      <c r="IB37" s="205"/>
      <c r="IC37" s="210"/>
      <c r="ID37" s="210"/>
      <c r="IE37" s="210"/>
      <c r="IF37" s="210"/>
      <c r="IG37" s="210"/>
      <c r="IH37" s="210"/>
      <c r="II37" s="210"/>
      <c r="IJ37" s="210"/>
      <c r="IK37" s="210"/>
      <c r="IL37" s="210"/>
      <c r="IM37" s="210"/>
      <c r="IN37" s="205"/>
      <c r="IO37" s="205"/>
      <c r="IP37" s="210"/>
      <c r="IQ37" s="210"/>
      <c r="IR37" s="210"/>
      <c r="IS37" s="210"/>
      <c r="IT37" s="210"/>
      <c r="IU37" s="210"/>
      <c r="IV37" s="210"/>
    </row>
    <row r="38" spans="1:256" x14ac:dyDescent="0.2">
      <c r="A38" s="216"/>
      <c r="B38" s="217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09"/>
      <c r="O38" s="209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05"/>
      <c r="AB38" s="205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5"/>
      <c r="AO38" s="205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5"/>
      <c r="BB38" s="205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5"/>
      <c r="BO38" s="205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5"/>
      <c r="CB38" s="205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5"/>
      <c r="CO38" s="205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5"/>
      <c r="DB38" s="205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5"/>
      <c r="DO38" s="205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5"/>
      <c r="EB38" s="205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5"/>
      <c r="EO38" s="205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5"/>
      <c r="FB38" s="205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5"/>
      <c r="FO38" s="205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5"/>
      <c r="GB38" s="205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5"/>
      <c r="GO38" s="205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5"/>
      <c r="HB38" s="205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5"/>
      <c r="HO38" s="205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5"/>
      <c r="IB38" s="205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5"/>
      <c r="IO38" s="205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6"/>
      <c r="B39" s="217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09"/>
      <c r="O39" s="209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05"/>
      <c r="AB39" s="205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5"/>
      <c r="AO39" s="205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5"/>
      <c r="BB39" s="205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5"/>
      <c r="BO39" s="205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5"/>
      <c r="CB39" s="205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5"/>
      <c r="CO39" s="205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5"/>
      <c r="DB39" s="205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5"/>
      <c r="DO39" s="205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5"/>
      <c r="EB39" s="205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5"/>
      <c r="EO39" s="205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5"/>
      <c r="FB39" s="205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5"/>
      <c r="FO39" s="205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5"/>
      <c r="GB39" s="205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5"/>
      <c r="GO39" s="205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5"/>
      <c r="HB39" s="205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5"/>
      <c r="HO39" s="205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5"/>
      <c r="IB39" s="205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5"/>
      <c r="IO39" s="205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6"/>
      <c r="B40" s="217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09"/>
      <c r="O40" s="209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05"/>
      <c r="AB40" s="205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5"/>
      <c r="AO40" s="205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5"/>
      <c r="BB40" s="205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5"/>
      <c r="BO40" s="205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5"/>
      <c r="CB40" s="205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5"/>
      <c r="CO40" s="205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5"/>
      <c r="DB40" s="205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5"/>
      <c r="DO40" s="205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5"/>
      <c r="EB40" s="205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5"/>
      <c r="EO40" s="205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5"/>
      <c r="FB40" s="205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5"/>
      <c r="FO40" s="205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5"/>
      <c r="GB40" s="205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5"/>
      <c r="GO40" s="205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5"/>
      <c r="HB40" s="205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5"/>
      <c r="HO40" s="205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5"/>
      <c r="IB40" s="205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5"/>
      <c r="IO40" s="205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6"/>
      <c r="B41" s="217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09"/>
      <c r="O41" s="209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05"/>
      <c r="AB41" s="205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05"/>
      <c r="AO41" s="205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05"/>
      <c r="BB41" s="205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05"/>
      <c r="BO41" s="205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05"/>
      <c r="CB41" s="205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05"/>
      <c r="CO41" s="205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05"/>
      <c r="DB41" s="205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05"/>
      <c r="DO41" s="205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05"/>
      <c r="EB41" s="205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05"/>
      <c r="EO41" s="205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05"/>
      <c r="FB41" s="205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05"/>
      <c r="FO41" s="205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05"/>
      <c r="GB41" s="205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05"/>
      <c r="GO41" s="205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05"/>
      <c r="HB41" s="205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05"/>
      <c r="HO41" s="205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05"/>
      <c r="IB41" s="205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05"/>
      <c r="IO41" s="205"/>
      <c r="IP41" s="210"/>
      <c r="IQ41" s="210"/>
      <c r="IR41" s="210"/>
      <c r="IS41" s="210"/>
      <c r="IT41" s="210"/>
      <c r="IU41" s="210"/>
      <c r="IV41" s="210"/>
    </row>
    <row r="42" spans="1:256" x14ac:dyDescent="0.2">
      <c r="A42" s="216"/>
      <c r="B42" s="217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09"/>
      <c r="O42" s="20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05"/>
      <c r="AB42" s="205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05"/>
      <c r="AO42" s="205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05"/>
      <c r="BB42" s="205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05"/>
      <c r="BO42" s="205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05"/>
      <c r="CB42" s="205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05"/>
      <c r="CO42" s="205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05"/>
      <c r="DB42" s="205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05"/>
      <c r="DO42" s="205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05"/>
      <c r="EB42" s="205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05"/>
      <c r="EO42" s="205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05"/>
      <c r="FB42" s="205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05"/>
      <c r="FO42" s="205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05"/>
      <c r="GB42" s="205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05"/>
      <c r="GO42" s="205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05"/>
      <c r="HB42" s="205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05"/>
      <c r="HO42" s="205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05"/>
      <c r="IB42" s="205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05"/>
      <c r="IO42" s="205"/>
      <c r="IP42" s="210"/>
      <c r="IQ42" s="210"/>
      <c r="IR42" s="210"/>
      <c r="IS42" s="210"/>
      <c r="IT42" s="210"/>
      <c r="IU42" s="210"/>
      <c r="IV42" s="210"/>
    </row>
    <row r="43" spans="1:256" x14ac:dyDescent="0.2">
      <c r="A43" s="216"/>
      <c r="B43" s="217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09"/>
      <c r="O43" s="209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05"/>
      <c r="AB43" s="205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05"/>
      <c r="AO43" s="205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05"/>
      <c r="BB43" s="205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05"/>
      <c r="BO43" s="205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05"/>
      <c r="CB43" s="205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05"/>
      <c r="CO43" s="205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05"/>
      <c r="DB43" s="205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05"/>
      <c r="DO43" s="205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05"/>
      <c r="EB43" s="205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05"/>
      <c r="EO43" s="205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05"/>
      <c r="FB43" s="205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05"/>
      <c r="FO43" s="205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05"/>
      <c r="GB43" s="205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05"/>
      <c r="GO43" s="205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05"/>
      <c r="HB43" s="205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05"/>
      <c r="HO43" s="205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05"/>
      <c r="IB43" s="205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05"/>
      <c r="IO43" s="205"/>
      <c r="IP43" s="210"/>
      <c r="IQ43" s="210"/>
      <c r="IR43" s="210"/>
      <c r="IS43" s="210"/>
      <c r="IT43" s="210"/>
      <c r="IU43" s="210"/>
      <c r="IV43" s="210"/>
    </row>
    <row r="44" spans="1:256" x14ac:dyDescent="0.2">
      <c r="A44" s="216"/>
      <c r="B44" s="217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09"/>
      <c r="O44" s="209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05"/>
      <c r="AB44" s="205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05"/>
      <c r="AO44" s="205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05"/>
      <c r="BB44" s="205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05"/>
      <c r="BO44" s="205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05"/>
      <c r="CB44" s="205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05"/>
      <c r="CO44" s="205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05"/>
      <c r="DB44" s="205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05"/>
      <c r="DO44" s="205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05"/>
      <c r="EB44" s="205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05"/>
      <c r="EO44" s="205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05"/>
      <c r="FB44" s="205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05"/>
      <c r="FO44" s="205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05"/>
      <c r="GB44" s="205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05"/>
      <c r="GO44" s="205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05"/>
      <c r="HB44" s="205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05"/>
      <c r="HO44" s="205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05"/>
      <c r="IB44" s="205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05"/>
      <c r="IO44" s="205"/>
      <c r="IP44" s="210"/>
      <c r="IQ44" s="210"/>
      <c r="IR44" s="210"/>
      <c r="IS44" s="210"/>
      <c r="IT44" s="210"/>
      <c r="IU44" s="210"/>
      <c r="IV44" s="210"/>
    </row>
    <row r="45" spans="1:256" x14ac:dyDescent="0.2">
      <c r="A45" s="216"/>
      <c r="B45" s="217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09"/>
      <c r="O45" s="209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05"/>
      <c r="AB45" s="205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05"/>
      <c r="AO45" s="205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05"/>
      <c r="BB45" s="205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05"/>
      <c r="BO45" s="205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05"/>
      <c r="CB45" s="205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05"/>
      <c r="CO45" s="205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05"/>
      <c r="DB45" s="205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05"/>
      <c r="DO45" s="205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05"/>
      <c r="EB45" s="205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05"/>
      <c r="EO45" s="205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05"/>
      <c r="FB45" s="205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05"/>
      <c r="FO45" s="205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05"/>
      <c r="GB45" s="205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05"/>
      <c r="GO45" s="205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05"/>
      <c r="HB45" s="205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05"/>
      <c r="HO45" s="205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05"/>
      <c r="IB45" s="205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05"/>
      <c r="IO45" s="205"/>
      <c r="IP45" s="210"/>
      <c r="IQ45" s="210"/>
      <c r="IR45" s="210"/>
      <c r="IS45" s="210"/>
      <c r="IT45" s="210"/>
      <c r="IU45" s="210"/>
      <c r="IV45" s="210"/>
    </row>
    <row r="46" spans="1:256" x14ac:dyDescent="0.2">
      <c r="A46" s="216"/>
      <c r="B46" s="217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09"/>
      <c r="O46" s="209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05"/>
      <c r="AB46" s="205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05"/>
      <c r="AO46" s="205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05"/>
      <c r="BB46" s="205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05"/>
      <c r="BO46" s="205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05"/>
      <c r="CB46" s="205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05"/>
      <c r="CO46" s="205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05"/>
      <c r="DB46" s="205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05"/>
      <c r="DO46" s="205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05"/>
      <c r="EB46" s="205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05"/>
      <c r="EO46" s="205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05"/>
      <c r="FB46" s="205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05"/>
      <c r="FO46" s="205"/>
      <c r="FP46" s="210"/>
      <c r="FQ46" s="210"/>
      <c r="FR46" s="210"/>
      <c r="FS46" s="210"/>
      <c r="FT46" s="210"/>
      <c r="FU46" s="210"/>
      <c r="FV46" s="210"/>
      <c r="FW46" s="210"/>
      <c r="FX46" s="210"/>
      <c r="FY46" s="210"/>
      <c r="FZ46" s="210"/>
      <c r="GA46" s="205"/>
      <c r="GB46" s="205"/>
      <c r="GC46" s="210"/>
      <c r="GD46" s="210"/>
      <c r="GE46" s="210"/>
      <c r="GF46" s="210"/>
      <c r="GG46" s="210"/>
      <c r="GH46" s="210"/>
      <c r="GI46" s="210"/>
      <c r="GJ46" s="210"/>
      <c r="GK46" s="210"/>
      <c r="GL46" s="210"/>
      <c r="GM46" s="210"/>
      <c r="GN46" s="205"/>
      <c r="GO46" s="205"/>
      <c r="GP46" s="210"/>
      <c r="GQ46" s="210"/>
      <c r="GR46" s="210"/>
      <c r="GS46" s="210"/>
      <c r="GT46" s="210"/>
      <c r="GU46" s="210"/>
      <c r="GV46" s="210"/>
      <c r="GW46" s="210"/>
      <c r="GX46" s="210"/>
      <c r="GY46" s="210"/>
      <c r="GZ46" s="210"/>
      <c r="HA46" s="205"/>
      <c r="HB46" s="205"/>
      <c r="HC46" s="210"/>
      <c r="HD46" s="210"/>
      <c r="HE46" s="210"/>
      <c r="HF46" s="210"/>
      <c r="HG46" s="210"/>
      <c r="HH46" s="210"/>
      <c r="HI46" s="210"/>
      <c r="HJ46" s="210"/>
      <c r="HK46" s="210"/>
      <c r="HL46" s="210"/>
      <c r="HM46" s="210"/>
      <c r="HN46" s="205"/>
      <c r="HO46" s="205"/>
      <c r="HP46" s="210"/>
      <c r="HQ46" s="210"/>
      <c r="HR46" s="210"/>
      <c r="HS46" s="210"/>
      <c r="HT46" s="210"/>
      <c r="HU46" s="210"/>
      <c r="HV46" s="210"/>
      <c r="HW46" s="210"/>
      <c r="HX46" s="210"/>
      <c r="HY46" s="210"/>
      <c r="HZ46" s="210"/>
      <c r="IA46" s="205"/>
      <c r="IB46" s="205"/>
      <c r="IC46" s="210"/>
      <c r="ID46" s="210"/>
      <c r="IE46" s="210"/>
      <c r="IF46" s="210"/>
      <c r="IG46" s="210"/>
      <c r="IH46" s="210"/>
      <c r="II46" s="210"/>
      <c r="IJ46" s="210"/>
      <c r="IK46" s="210"/>
      <c r="IL46" s="210"/>
      <c r="IM46" s="210"/>
      <c r="IN46" s="205"/>
      <c r="IO46" s="205"/>
      <c r="IP46" s="210"/>
      <c r="IQ46" s="210"/>
      <c r="IR46" s="210"/>
      <c r="IS46" s="210"/>
      <c r="IT46" s="210"/>
      <c r="IU46" s="210"/>
      <c r="IV46" s="210"/>
    </row>
    <row r="47" spans="1:256" x14ac:dyDescent="0.2">
      <c r="A47" s="216"/>
      <c r="B47" s="217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09"/>
      <c r="O47" s="20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05"/>
      <c r="AB47" s="205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05"/>
      <c r="AO47" s="205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05"/>
      <c r="BB47" s="205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05"/>
      <c r="BO47" s="205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05"/>
      <c r="CB47" s="205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05"/>
      <c r="CO47" s="205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05"/>
      <c r="DB47" s="205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05"/>
      <c r="DO47" s="205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05"/>
      <c r="EB47" s="205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05"/>
      <c r="EO47" s="205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05"/>
      <c r="FB47" s="205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05"/>
      <c r="FO47" s="205"/>
      <c r="FP47" s="210"/>
      <c r="FQ47" s="210"/>
      <c r="FR47" s="210"/>
      <c r="FS47" s="210"/>
      <c r="FT47" s="210"/>
      <c r="FU47" s="210"/>
      <c r="FV47" s="210"/>
      <c r="FW47" s="210"/>
      <c r="FX47" s="210"/>
      <c r="FY47" s="210"/>
      <c r="FZ47" s="210"/>
      <c r="GA47" s="205"/>
      <c r="GB47" s="205"/>
      <c r="GC47" s="210"/>
      <c r="GD47" s="210"/>
      <c r="GE47" s="210"/>
      <c r="GF47" s="210"/>
      <c r="GG47" s="210"/>
      <c r="GH47" s="210"/>
      <c r="GI47" s="210"/>
      <c r="GJ47" s="210"/>
      <c r="GK47" s="210"/>
      <c r="GL47" s="210"/>
      <c r="GM47" s="210"/>
      <c r="GN47" s="205"/>
      <c r="GO47" s="205"/>
      <c r="GP47" s="210"/>
      <c r="GQ47" s="210"/>
      <c r="GR47" s="210"/>
      <c r="GS47" s="210"/>
      <c r="GT47" s="210"/>
      <c r="GU47" s="210"/>
      <c r="GV47" s="210"/>
      <c r="GW47" s="210"/>
      <c r="GX47" s="210"/>
      <c r="GY47" s="210"/>
      <c r="GZ47" s="210"/>
      <c r="HA47" s="205"/>
      <c r="HB47" s="205"/>
      <c r="HC47" s="210"/>
      <c r="HD47" s="210"/>
      <c r="HE47" s="210"/>
      <c r="HF47" s="210"/>
      <c r="HG47" s="210"/>
      <c r="HH47" s="210"/>
      <c r="HI47" s="210"/>
      <c r="HJ47" s="210"/>
      <c r="HK47" s="210"/>
      <c r="HL47" s="210"/>
      <c r="HM47" s="210"/>
      <c r="HN47" s="205"/>
      <c r="HO47" s="205"/>
      <c r="HP47" s="210"/>
      <c r="HQ47" s="210"/>
      <c r="HR47" s="210"/>
      <c r="HS47" s="210"/>
      <c r="HT47" s="210"/>
      <c r="HU47" s="210"/>
      <c r="HV47" s="210"/>
      <c r="HW47" s="210"/>
      <c r="HX47" s="210"/>
      <c r="HY47" s="210"/>
      <c r="HZ47" s="210"/>
      <c r="IA47" s="205"/>
      <c r="IB47" s="205"/>
      <c r="IC47" s="210"/>
      <c r="ID47" s="210"/>
      <c r="IE47" s="210"/>
      <c r="IF47" s="210"/>
      <c r="IG47" s="210"/>
      <c r="IH47" s="210"/>
      <c r="II47" s="210"/>
      <c r="IJ47" s="210"/>
      <c r="IK47" s="210"/>
      <c r="IL47" s="210"/>
      <c r="IM47" s="210"/>
      <c r="IN47" s="205"/>
      <c r="IO47" s="205"/>
      <c r="IP47" s="210"/>
      <c r="IQ47" s="210"/>
      <c r="IR47" s="210"/>
      <c r="IS47" s="210"/>
      <c r="IT47" s="210"/>
      <c r="IU47" s="210"/>
      <c r="IV47" s="210"/>
    </row>
    <row r="48" spans="1:256" x14ac:dyDescent="0.2">
      <c r="A48" s="216"/>
      <c r="B48" s="217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09"/>
      <c r="O48" s="209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05"/>
      <c r="AB48" s="205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05"/>
      <c r="AO48" s="205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05"/>
      <c r="BB48" s="205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05"/>
      <c r="BO48" s="205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05"/>
      <c r="CB48" s="205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05"/>
      <c r="CO48" s="205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05"/>
      <c r="DB48" s="205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05"/>
      <c r="DO48" s="205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05"/>
      <c r="EB48" s="205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05"/>
      <c r="EO48" s="205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05"/>
      <c r="FB48" s="205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05"/>
      <c r="FO48" s="205"/>
      <c r="FP48" s="210"/>
      <c r="FQ48" s="210"/>
      <c r="FR48" s="210"/>
      <c r="FS48" s="210"/>
      <c r="FT48" s="210"/>
      <c r="FU48" s="210"/>
      <c r="FV48" s="210"/>
      <c r="FW48" s="210"/>
      <c r="FX48" s="210"/>
      <c r="FY48" s="210"/>
      <c r="FZ48" s="210"/>
      <c r="GA48" s="205"/>
      <c r="GB48" s="205"/>
      <c r="GC48" s="210"/>
      <c r="GD48" s="210"/>
      <c r="GE48" s="210"/>
      <c r="GF48" s="210"/>
      <c r="GG48" s="210"/>
      <c r="GH48" s="210"/>
      <c r="GI48" s="210"/>
      <c r="GJ48" s="210"/>
      <c r="GK48" s="210"/>
      <c r="GL48" s="210"/>
      <c r="GM48" s="210"/>
      <c r="GN48" s="205"/>
      <c r="GO48" s="205"/>
      <c r="GP48" s="210"/>
      <c r="GQ48" s="210"/>
      <c r="GR48" s="210"/>
      <c r="GS48" s="210"/>
      <c r="GT48" s="210"/>
      <c r="GU48" s="210"/>
      <c r="GV48" s="210"/>
      <c r="GW48" s="210"/>
      <c r="GX48" s="210"/>
      <c r="GY48" s="210"/>
      <c r="GZ48" s="210"/>
      <c r="HA48" s="205"/>
      <c r="HB48" s="205"/>
      <c r="HC48" s="210"/>
      <c r="HD48" s="210"/>
      <c r="HE48" s="210"/>
      <c r="HF48" s="210"/>
      <c r="HG48" s="210"/>
      <c r="HH48" s="210"/>
      <c r="HI48" s="210"/>
      <c r="HJ48" s="210"/>
      <c r="HK48" s="210"/>
      <c r="HL48" s="210"/>
      <c r="HM48" s="210"/>
      <c r="HN48" s="205"/>
      <c r="HO48" s="205"/>
      <c r="HP48" s="210"/>
      <c r="HQ48" s="210"/>
      <c r="HR48" s="210"/>
      <c r="HS48" s="210"/>
      <c r="HT48" s="210"/>
      <c r="HU48" s="210"/>
      <c r="HV48" s="210"/>
      <c r="HW48" s="210"/>
      <c r="HX48" s="210"/>
      <c r="HY48" s="210"/>
      <c r="HZ48" s="210"/>
      <c r="IA48" s="205"/>
      <c r="IB48" s="205"/>
      <c r="IC48" s="210"/>
      <c r="ID48" s="210"/>
      <c r="IE48" s="210"/>
      <c r="IF48" s="210"/>
      <c r="IG48" s="210"/>
      <c r="IH48" s="210"/>
      <c r="II48" s="210"/>
      <c r="IJ48" s="210"/>
      <c r="IK48" s="210"/>
      <c r="IL48" s="210"/>
      <c r="IM48" s="210"/>
      <c r="IN48" s="205"/>
      <c r="IO48" s="205"/>
      <c r="IP48" s="210"/>
      <c r="IQ48" s="210"/>
      <c r="IR48" s="210"/>
      <c r="IS48" s="210"/>
      <c r="IT48" s="210"/>
      <c r="IU48" s="210"/>
      <c r="IV48" s="210"/>
    </row>
    <row r="49" spans="1:256" x14ac:dyDescent="0.2">
      <c r="A49" s="216"/>
      <c r="B49" s="217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09"/>
      <c r="O49" s="209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05"/>
      <c r="AB49" s="205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05"/>
      <c r="AO49" s="205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05"/>
      <c r="BB49" s="205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05"/>
      <c r="BO49" s="205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05"/>
      <c r="CB49" s="205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05"/>
      <c r="CO49" s="205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05"/>
      <c r="DB49" s="205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05"/>
      <c r="DO49" s="205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05"/>
      <c r="EB49" s="205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05"/>
      <c r="EO49" s="205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05"/>
      <c r="FB49" s="205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05"/>
      <c r="FO49" s="205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05"/>
      <c r="GB49" s="205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05"/>
      <c r="GO49" s="205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05"/>
      <c r="HB49" s="205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05"/>
      <c r="HO49" s="205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05"/>
      <c r="IB49" s="205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05"/>
      <c r="IO49" s="205"/>
      <c r="IP49" s="210"/>
      <c r="IQ49" s="210"/>
      <c r="IR49" s="210"/>
      <c r="IS49" s="210"/>
      <c r="IT49" s="210"/>
      <c r="IU49" s="210"/>
      <c r="IV49" s="210"/>
    </row>
    <row r="50" spans="1:256" x14ac:dyDescent="0.2">
      <c r="A50" s="216"/>
      <c r="B50" s="217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6"/>
      <c r="B51" s="217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6"/>
      <c r="B52" s="217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6"/>
      <c r="B53" s="217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6"/>
      <c r="B54" s="217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6"/>
      <c r="B55" s="217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6"/>
      <c r="B56" s="217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6"/>
      <c r="B57" s="217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6"/>
      <c r="B58" s="217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6"/>
      <c r="B59" s="217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6"/>
      <c r="B60" s="217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6"/>
      <c r="B61" s="217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6"/>
      <c r="B62" s="217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6"/>
      <c r="B63" s="217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6"/>
      <c r="B64" s="217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6"/>
      <c r="B65" s="217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6"/>
      <c r="B66" s="217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6"/>
      <c r="B67" s="217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6"/>
      <c r="B68" s="217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6"/>
      <c r="B69" s="217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18"/>
      <c r="B70" s="219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6"/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</row>
    <row r="72" spans="1:13" ht="12.75" x14ac:dyDescent="0.2">
      <c r="A72" s="287" t="s">
        <v>842</v>
      </c>
      <c r="B72" s="287"/>
      <c r="C72" s="287"/>
      <c r="D72" s="287"/>
      <c r="E72" s="287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8" t="s">
        <v>762</v>
      </c>
      <c r="B73" s="208" t="s">
        <v>763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09"/>
      <c r="B74" s="209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09"/>
      <c r="B75" s="209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09"/>
      <c r="B76" s="209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09"/>
      <c r="B77" s="209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09"/>
      <c r="B78" s="209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09"/>
      <c r="B79" s="209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09"/>
      <c r="B80" s="209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09"/>
      <c r="B81" s="209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09"/>
      <c r="B82" s="209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09"/>
      <c r="B83" s="209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09"/>
      <c r="B84" s="209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09"/>
      <c r="B85" s="209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09"/>
      <c r="B86" s="209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09"/>
      <c r="B87" s="209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09"/>
      <c r="B88" s="209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09"/>
      <c r="B89" s="209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09"/>
      <c r="B90" s="209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2018-11-27T12:59:46Z</cp:lastPrinted>
  <dcterms:created xsi:type="dcterms:W3CDTF">1997-12-04T19:04:30Z</dcterms:created>
  <dcterms:modified xsi:type="dcterms:W3CDTF">2018-12-03T18:57:47Z</dcterms:modified>
</cp:coreProperties>
</file>