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E16" i="13" s="1"/>
  <c r="F5" i="13"/>
  <c r="G5" i="13"/>
  <c r="L197" i="1"/>
  <c r="C109" i="2" s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G650" i="1" s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G661" i="1" s="1"/>
  <c r="L359" i="1"/>
  <c r="L360" i="1"/>
  <c r="H661" i="1" s="1"/>
  <c r="I367" i="1"/>
  <c r="D29" i="13" s="1"/>
  <c r="C29" i="13" s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G162" i="1"/>
  <c r="H147" i="1"/>
  <c r="H162" i="1"/>
  <c r="I147" i="1"/>
  <c r="I162" i="1"/>
  <c r="I169" i="1" s="1"/>
  <c r="C11" i="10"/>
  <c r="L250" i="1"/>
  <c r="L332" i="1"/>
  <c r="L254" i="1"/>
  <c r="L268" i="1"/>
  <c r="L269" i="1"/>
  <c r="C143" i="2" s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K550" i="1" s="1"/>
  <c r="L523" i="1"/>
  <c r="L526" i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D31" i="2" s="1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C113" i="2"/>
  <c r="E113" i="2"/>
  <c r="D115" i="2"/>
  <c r="F115" i="2"/>
  <c r="G115" i="2"/>
  <c r="E120" i="2"/>
  <c r="E123" i="2"/>
  <c r="E124" i="2"/>
  <c r="F128" i="2"/>
  <c r="G128" i="2"/>
  <c r="F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57" i="1"/>
  <c r="F271" i="1" s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461" i="1"/>
  <c r="H641" i="1" s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G643" i="1"/>
  <c r="H643" i="1"/>
  <c r="G644" i="1"/>
  <c r="G645" i="1"/>
  <c r="G651" i="1"/>
  <c r="G652" i="1"/>
  <c r="H652" i="1"/>
  <c r="G653" i="1"/>
  <c r="H653" i="1"/>
  <c r="G654" i="1"/>
  <c r="H654" i="1"/>
  <c r="H655" i="1"/>
  <c r="F192" i="1"/>
  <c r="C26" i="10"/>
  <c r="L328" i="1"/>
  <c r="D62" i="2"/>
  <c r="D63" i="2" s="1"/>
  <c r="D18" i="2"/>
  <c r="C91" i="2"/>
  <c r="D50" i="2"/>
  <c r="G161" i="2"/>
  <c r="G156" i="2"/>
  <c r="D91" i="2"/>
  <c r="G62" i="2"/>
  <c r="E78" i="2"/>
  <c r="E81" i="2" s="1"/>
  <c r="J639" i="1"/>
  <c r="K605" i="1"/>
  <c r="G648" i="1" s="1"/>
  <c r="J571" i="1"/>
  <c r="J644" i="1"/>
  <c r="F476" i="1"/>
  <c r="H622" i="1" s="1"/>
  <c r="F571" i="1"/>
  <c r="G22" i="2"/>
  <c r="H140" i="1"/>
  <c r="F22" i="13"/>
  <c r="C22" i="13" s="1"/>
  <c r="H571" i="1"/>
  <c r="H192" i="1"/>
  <c r="L570" i="1"/>
  <c r="I571" i="1"/>
  <c r="L565" i="1"/>
  <c r="J622" i="1" l="1"/>
  <c r="C125" i="2"/>
  <c r="J651" i="1"/>
  <c r="H545" i="1"/>
  <c r="K545" i="1"/>
  <c r="I545" i="1"/>
  <c r="G545" i="1"/>
  <c r="C110" i="2"/>
  <c r="I257" i="1"/>
  <c r="I271" i="1" s="1"/>
  <c r="J257" i="1"/>
  <c r="J271" i="1" s="1"/>
  <c r="G257" i="1"/>
  <c r="G271" i="1" s="1"/>
  <c r="J645" i="1"/>
  <c r="H476" i="1"/>
  <c r="H624" i="1" s="1"/>
  <c r="J624" i="1" s="1"/>
  <c r="G476" i="1"/>
  <c r="H623" i="1" s="1"/>
  <c r="J623" i="1" s="1"/>
  <c r="J640" i="1"/>
  <c r="I369" i="1"/>
  <c r="H634" i="1" s="1"/>
  <c r="J634" i="1" s="1"/>
  <c r="K338" i="1"/>
  <c r="K352" i="1" s="1"/>
  <c r="L290" i="1"/>
  <c r="L338" i="1" s="1"/>
  <c r="L352" i="1" s="1"/>
  <c r="G633" i="1" s="1"/>
  <c r="J633" i="1" s="1"/>
  <c r="E109" i="2"/>
  <c r="C121" i="2"/>
  <c r="E8" i="13"/>
  <c r="C8" i="13" s="1"/>
  <c r="D7" i="13"/>
  <c r="C7" i="13" s="1"/>
  <c r="H257" i="1"/>
  <c r="H271" i="1" s="1"/>
  <c r="A40" i="12"/>
  <c r="D5" i="13"/>
  <c r="C5" i="13" s="1"/>
  <c r="A13" i="12"/>
  <c r="H169" i="1"/>
  <c r="H193" i="1" s="1"/>
  <c r="G629" i="1" s="1"/>
  <c r="J629" i="1" s="1"/>
  <c r="E31" i="2"/>
  <c r="J617" i="1"/>
  <c r="C16" i="13"/>
  <c r="J641" i="1"/>
  <c r="F18" i="2"/>
  <c r="C35" i="10"/>
  <c r="C56" i="2"/>
  <c r="C21" i="10"/>
  <c r="H647" i="1"/>
  <c r="F662" i="1"/>
  <c r="I662" i="1" s="1"/>
  <c r="C124" i="2"/>
  <c r="G649" i="1"/>
  <c r="J649" i="1" s="1"/>
  <c r="D15" i="13"/>
  <c r="C15" i="13" s="1"/>
  <c r="C118" i="2"/>
  <c r="D6" i="13"/>
  <c r="C6" i="13" s="1"/>
  <c r="C12" i="10"/>
  <c r="C111" i="2"/>
  <c r="C115" i="2" s="1"/>
  <c r="F112" i="1"/>
  <c r="D12" i="13"/>
  <c r="C12" i="13" s="1"/>
  <c r="L427" i="1"/>
  <c r="C114" i="2"/>
  <c r="F661" i="1"/>
  <c r="I661" i="1" s="1"/>
  <c r="C19" i="10"/>
  <c r="C10" i="10"/>
  <c r="L393" i="1"/>
  <c r="C138" i="2" s="1"/>
  <c r="C130" i="2"/>
  <c r="C29" i="10"/>
  <c r="E125" i="2"/>
  <c r="E121" i="2"/>
  <c r="E128" i="2" s="1"/>
  <c r="E112" i="2"/>
  <c r="C13" i="10"/>
  <c r="D127" i="2"/>
  <c r="D128" i="2" s="1"/>
  <c r="D145" i="2" s="1"/>
  <c r="D17" i="13"/>
  <c r="C17" i="13" s="1"/>
  <c r="D14" i="13"/>
  <c r="C14" i="13" s="1"/>
  <c r="C18" i="10"/>
  <c r="L247" i="1"/>
  <c r="H660" i="1" s="1"/>
  <c r="H664" i="1" s="1"/>
  <c r="C120" i="2"/>
  <c r="J655" i="1"/>
  <c r="F169" i="1"/>
  <c r="H112" i="1"/>
  <c r="E13" i="13"/>
  <c r="C13" i="13" s="1"/>
  <c r="J643" i="1"/>
  <c r="I52" i="1"/>
  <c r="H620" i="1" s="1"/>
  <c r="G625" i="1"/>
  <c r="G164" i="2"/>
  <c r="C78" i="2"/>
  <c r="C81" i="2" s="1"/>
  <c r="C132" i="2"/>
  <c r="G549" i="1"/>
  <c r="L529" i="1"/>
  <c r="L211" i="1"/>
  <c r="C16" i="10"/>
  <c r="L351" i="1"/>
  <c r="L229" i="1"/>
  <c r="G660" i="1" s="1"/>
  <c r="G664" i="1" s="1"/>
  <c r="G667" i="1" s="1"/>
  <c r="C17" i="10"/>
  <c r="H25" i="13"/>
  <c r="K598" i="1"/>
  <c r="G647" i="1" s="1"/>
  <c r="K571" i="1"/>
  <c r="L560" i="1"/>
  <c r="K500" i="1"/>
  <c r="J625" i="1"/>
  <c r="I460" i="1"/>
  <c r="I452" i="1"/>
  <c r="I446" i="1"/>
  <c r="G642" i="1" s="1"/>
  <c r="K257" i="1"/>
  <c r="K271" i="1" s="1"/>
  <c r="C123" i="2"/>
  <c r="F81" i="2"/>
  <c r="C70" i="2"/>
  <c r="C62" i="2"/>
  <c r="C63" i="2" s="1"/>
  <c r="C18" i="2"/>
  <c r="L270" i="1"/>
  <c r="J551" i="1"/>
  <c r="J552" i="1" s="1"/>
  <c r="L544" i="1"/>
  <c r="F551" i="1"/>
  <c r="L524" i="1"/>
  <c r="C32" i="10"/>
  <c r="C15" i="10"/>
  <c r="J338" i="1"/>
  <c r="J352" i="1" s="1"/>
  <c r="L614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G169" i="1"/>
  <c r="G140" i="1"/>
  <c r="F140" i="1"/>
  <c r="G63" i="2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G635" i="1"/>
  <c r="J635" i="1" s="1"/>
  <c r="J647" i="1" l="1"/>
  <c r="G104" i="2"/>
  <c r="C141" i="2"/>
  <c r="C144" i="2" s="1"/>
  <c r="D31" i="13"/>
  <c r="C31" i="13" s="1"/>
  <c r="E115" i="2"/>
  <c r="E145" i="2" s="1"/>
  <c r="L257" i="1"/>
  <c r="L271" i="1" s="1"/>
  <c r="G632" i="1" s="1"/>
  <c r="J632" i="1" s="1"/>
  <c r="C28" i="10"/>
  <c r="D22" i="10" s="1"/>
  <c r="C104" i="2"/>
  <c r="C39" i="10"/>
  <c r="C36" i="10"/>
  <c r="H672" i="1"/>
  <c r="C6" i="10" s="1"/>
  <c r="H667" i="1"/>
  <c r="C128" i="2"/>
  <c r="F660" i="1"/>
  <c r="G672" i="1"/>
  <c r="C5" i="10" s="1"/>
  <c r="K549" i="1"/>
  <c r="G552" i="1"/>
  <c r="F552" i="1"/>
  <c r="K551" i="1"/>
  <c r="H648" i="1"/>
  <c r="J648" i="1" s="1"/>
  <c r="F193" i="1"/>
  <c r="G627" i="1" s="1"/>
  <c r="J627" i="1" s="1"/>
  <c r="L408" i="1"/>
  <c r="L545" i="1"/>
  <c r="I461" i="1"/>
  <c r="H642" i="1" s="1"/>
  <c r="J642" i="1" s="1"/>
  <c r="C25" i="13"/>
  <c r="H33" i="13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K552" i="1" l="1"/>
  <c r="C145" i="2"/>
  <c r="D33" i="13"/>
  <c r="D36" i="13" s="1"/>
  <c r="D20" i="10"/>
  <c r="D17" i="10"/>
  <c r="D16" i="10"/>
  <c r="D18" i="10"/>
  <c r="C30" i="10"/>
  <c r="D19" i="10"/>
  <c r="D27" i="10"/>
  <c r="D26" i="10"/>
  <c r="D25" i="10"/>
  <c r="D24" i="10"/>
  <c r="D10" i="10"/>
  <c r="D15" i="10"/>
  <c r="D12" i="10"/>
  <c r="D23" i="10"/>
  <c r="D13" i="10"/>
  <c r="D11" i="10"/>
  <c r="D21" i="10"/>
  <c r="F664" i="1"/>
  <c r="I660" i="1"/>
  <c r="I664" i="1" s="1"/>
  <c r="I672" i="1" s="1"/>
  <c r="C7" i="10" s="1"/>
  <c r="G637" i="1"/>
  <c r="J637" i="1" s="1"/>
  <c r="H646" i="1"/>
  <c r="J646" i="1" s="1"/>
  <c r="C41" i="10"/>
  <c r="D38" i="10" s="1"/>
  <c r="D28" i="10" l="1"/>
  <c r="I667" i="1"/>
  <c r="F672" i="1"/>
  <c r="C4" i="10" s="1"/>
  <c r="F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<sst xmlns="http://schemas.openxmlformats.org/spreadsheetml/2006/main" count="3957" uniqueCount="913">
  <si>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</si>
  <si>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</si>
  <si>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</si>
  <si>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</si>
  <si>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</si>
  <si>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</si>
  <si>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</si>
  <si>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</si>
  <si>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</si>
  <si>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</si>
  <si>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</si>
  <si>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</si>
  <si>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</si>
  <si>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</si>
  <si>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</si>
  <si>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</si>
  <si>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</si>
  <si>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</si>
  <si>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</si>
  <si>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</si>
  <si>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</si>
  <si>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</si>
  <si>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</si>
  <si>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</si>
  <si>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</si>
  <si>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</si>
  <si>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</si>
  <si>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</si>
  <si>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</si>
  <si>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</si>
  <si>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</si>
  <si>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</si>
  <si>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</si>
  <si>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</si>
  <si>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</si>
  <si>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</si>
  <si>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</si>
  <si>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</si>
  <si>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</si>
  <si>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</si>
  <si>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</si>
  <si>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</si>
  <si>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</si>
  <si>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</si>
  <si>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</si>
  <si>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</si>
  <si>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</si>
  <si>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</si>
  <si>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</si>
  <si>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</si>
  <si>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</si>
  <si>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</si>
  <si>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</si>
  <si>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</si>
  <si>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</si>
  <si>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</si>
  <si>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</si>
  <si>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</si>
  <si>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</si>
  <si>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</si>
  <si>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</si>
  <si>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</si>
  <si>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</si>
  <si>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</si>
  <si>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</si>
  <si>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</si>
  <si>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</si>
  <si>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</si>
  <si>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</si>
  <si>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</si>
  <si>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</si>
  <si>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</si>
  <si>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</si>
  <si>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</si>
  <si>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</si>
  <si>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</si>
  <si>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</si>
  <si>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</si>
  <si>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</si>
  <si>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</si>
  <si>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</si>
  <si>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</si>
  <si>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</si>
  <si>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</si>
  <si>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</si>
  <si>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</si>
  <si>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</si>
  <si>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</si>
  <si>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</si>
  <si>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</si>
  <si>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</si>
  <si>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</si>
  <si>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</si>
  <si>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</si>
  <si>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</si>
  <si>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</si>
  <si>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</si>
  <si>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</si>
  <si>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</si>
  <si>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</si>
  <si>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</si>
  <si>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</si>
  <si>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</si>
  <si>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</si>
  <si>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</si>
  <si>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</si>
  <si>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</si>
  <si>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</si>
  <si>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</si>
  <si>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</si>
  <si>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</si>
  <si>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</si>
  <si>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</si>
  <si>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</si>
  <si>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</si>
  <si>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</si>
  <si>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</si>
  <si>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</si>
  <si>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</si>
  <si>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</si>
  <si>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</si>
  <si>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</si>
  <si>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</si>
  <si>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</si>
  <si>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</si>
  <si>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</si>
  <si>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</si>
  <si>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</si>
  <si>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</si>
  <si>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</si>
  <si>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</si>
  <si>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</si>
  <si>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</si>
  <si>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</si>
  <si>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</si>
  <si>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</si>
  <si>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</si>
  <si>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</si>
  <si>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</si>
  <si>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</si>
  <si>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</si>
  <si>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</si>
  <si>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</si>
  <si>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</si>
  <si>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</si>
  <si>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</si>
  <si>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</si>
  <si>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</si>
  <si>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</si>
  <si>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</si>
  <si>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</si>
  <si>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</si>
  <si>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</si>
  <si>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</si>
  <si>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</si>
  <si>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</si>
  <si>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</si>
  <si>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</si>
  <si>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</si>
  <si>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</si>
  <si>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</si>
  <si>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</si>
  <si>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</si>
  <si>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</si>
  <si>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</si>
  <si>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</si>
  <si>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</si>
  <si>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</si>
  <si>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</si>
  <si>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</si>
  <si>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</si>
  <si>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</si>
  <si>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</si>
  <si>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</si>
  <si>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</si>
  <si>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</si>
  <si>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</si>
  <si>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</si>
  <si>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</si>
  <si>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</si>
  <si>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</si>
  <si>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</si>
  <si>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</si>
  <si>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</si>
  <si>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</si>
  <si>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</si>
  <si>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</si>
  <si>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</si>
  <si>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</si>
  <si>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</si>
  <si>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</si>
  <si>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</si>
  <si>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</si>
  <si>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</si>
  <si>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</si>
  <si>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</si>
  <si>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</si>
  <si>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</si>
  <si>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</si>
  <si>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</si>
  <si>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</si>
  <si>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</si>
  <si>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</si>
  <si>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</si>
  <si>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</si>
  <si>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</si>
  <si>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</si>
  <si>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</si>
  <si>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</si>
  <si>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</si>
  <si>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</si>
  <si>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</si>
  <si>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</si>
  <si>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</si>
  <si>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</si>
  <si>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</si>
  <si>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</si>
  <si>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</si>
  <si>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</si>
  <si>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</si>
  <si>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</si>
  <si>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</si>
  <si>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</si>
  <si>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</si>
  <si>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</si>
  <si>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</si>
  <si>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</si>
  <si>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</si>
  <si>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</si>
  <si>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</si>
  <si>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</si>
  <si>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</si>
  <si>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</si>
  <si>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</si>
  <si>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</si>
  <si>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</si>
  <si>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</si>
  <si>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</si>
  <si>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</si>
  <si>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</si>
  <si>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</si>
  <si>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</si>
  <si>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</si>
  <si>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</si>
  <si>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</si>
  <si>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</si>
  <si>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</si>
  <si>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</si>
  <si>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</si>
  <si>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</si>
  <si>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</si>
  <si>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</si>
  <si>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</si>
  <si>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</si>
  <si>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</si>
  <si>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</si>
  <si>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</si>
  <si>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</si>
  <si>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</si>
  <si>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</si>
  <si>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</si>
  <si>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</si>
  <si>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</si>
  <si>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</si>
  <si>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</si>
  <si>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</si>
  <si>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</si>
  <si>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</si>
  <si>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</si>
  <si>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</si>
  <si>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</si>
  <si>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</si>
  <si>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</si>
  <si>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</si>
  <si>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</si>
  <si>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</si>
  <si>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</si>
  <si>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</si>
  <si>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</si>
  <si>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</si>
  <si>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</si>
  <si>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</si>
  <si>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</si>
  <si>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</si>
  <si>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</si>
  <si>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</si>
  <si>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</si>
  <si>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</si>
  <si>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</si>
  <si>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</si>
  <si>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</si>
  <si>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</si>
  <si>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</si>
  <si>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</si>
  <si>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</si>
  <si>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</si>
  <si>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</si>
  <si>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</si>
  <si>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</si>
  <si>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</si>
  <si>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</si>
  <si>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</si>
  <si>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</si>
  <si>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</si>
  <si>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</si>
  <si>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</si>
  <si>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</si>
  <si>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</si>
  <si>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</si>
  <si>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</si>
  <si>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</si>
  <si>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</si>
  <si>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</si>
  <si>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</si>
  <si>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</si>
  <si>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</si>
  <si>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</si>
  <si>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</si>
  <si>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</si>
  <si>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</si>
  <si>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</si>
  <si>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</si>
  <si>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</si>
  <si>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</si>
  <si>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</si>
  <si>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</si>
  <si>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</si>
  <si>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</si>
  <si>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</si>
  <si>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</si>
  <si>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</si>
  <si>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</si>
  <si>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</si>
  <si>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</si>
  <si>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</si>
  <si>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</si>
  <si>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</si>
  <si>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</si>
  <si>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</si>
  <si>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</si>
  <si>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</si>
  <si>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</si>
  <si>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</si>
  <si>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</si>
  <si>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</si>
  <si>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</si>
  <si>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</si>
  <si>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</si>
  <si>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</si>
  <si>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</si>
  <si>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</si>
  <si>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</si>
  <si>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</si>
  <si>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</si>
  <si>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</si>
  <si>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</si>
  <si>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</si>
  <si>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</si>
  <si>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</si>
  <si>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</si>
  <si>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</si>
  <si>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</si>
  <si>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</si>
  <si>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</si>
  <si>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</si>
  <si>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</si>
  <si>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</si>
  <si>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</si>
  <si>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</si>
  <si>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</si>
  <si>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</si>
  <si>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</si>
  <si>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</si>
  <si>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</si>
  <si>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</si>
  <si>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</si>
  <si>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</si>
  <si>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</si>
  <si>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</si>
  <si>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</si>
  <si>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</si>
  <si>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</si>
  <si>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</si>
  <si>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</si>
  <si>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</si>
  <si>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</si>
  <si>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</si>
  <si>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</si>
  <si>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</si>
  <si>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</si>
  <si>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</si>
  <si>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</si>
  <si>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</si>
  <si>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</si>
  <si>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</si>
  <si>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</si>
  <si>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</si>
  <si>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</si>
  <si>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</si>
  <si>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</si>
  <si>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</si>
  <si>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</si>
  <si>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</si>
  <si>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</si>
  <si>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</si>
  <si>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</si>
  <si>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</si>
  <si>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</si>
  <si>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</si>
  <si>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</si>
  <si>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</si>
  <si>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</si>
  <si>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</si>
  <si>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</si>
  <si>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</si>
  <si>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</si>
  <si>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</si>
  <si>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</si>
  <si>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</si>
  <si>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</si>
  <si>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</si>
  <si>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</si>
  <si>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</si>
  <si>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</si>
  <si>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</si>
  <si>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</si>
  <si>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</si>
  <si>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</si>
  <si>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</si>
  <si>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</si>
  <si>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</si>
  <si>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</si>
  <si>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</si>
  <si>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</si>
  <si>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</si>
  <si>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</si>
  <si>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</si>
  <si>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</si>
  <si>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</si>
  <si>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</si>
  <si>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</si>
  <si>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</si>
  <si>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</si>
  <si>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</si>
  <si>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</si>
  <si>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</si>
  <si>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</si>
  <si>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</si>
  <si>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</si>
  <si>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</si>
  <si>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</si>
  <si>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</si>
  <si>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</si>
  <si>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</si>
  <si>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</si>
  <si>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</si>
  <si>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</si>
  <si>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</si>
  <si>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</si>
  <si>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</si>
  <si>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</si>
  <si>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</si>
  <si>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</si>
  <si>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</si>
  <si>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</si>
  <si>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</si>
  <si>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</si>
  <si>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</si>
  <si>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</si>
  <si>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</si>
  <si>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</si>
  <si>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</si>
  <si>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</si>
  <si>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</si>
  <si>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</si>
  <si>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</si>
  <si>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</si>
  <si>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</si>
  <si>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</si>
  <si>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</si>
  <si>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</si>
  <si>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</si>
  <si>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</si>
  <si>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</si>
  <si>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</si>
  <si>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</si>
  <si>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</si>
  <si>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</si>
  <si>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</si>
  <si>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</si>
  <si>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</si>
  <si>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</si>
  <si>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</si>
  <si>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</si>
  <si>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</si>
  <si>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</si>
  <si>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</si>
  <si>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</si>
  <si>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</si>
  <si>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</si>
  <si>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</si>
  <si>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</si>
  <si>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</si>
  <si>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</si>
  <si>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</si>
  <si>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</si>
  <si>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</si>
  <si>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</si>
  <si>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</si>
  <si>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</si>
  <si>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</si>
  <si>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</si>
  <si>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</si>
  <si>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</si>
  <si>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</si>
  <si>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</si>
  <si>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</si>
  <si>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</si>
  <si>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</si>
  <si>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</si>
  <si>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</si>
  <si>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</si>
  <si>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</si>
  <si>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</si>
  <si>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</si>
  <si>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</si>
  <si>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</si>
  <si>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</si>
  <si>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</si>
  <si>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</si>
  <si>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</si>
  <si>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</si>
  <si>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</si>
  <si>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</si>
  <si>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</si>
  <si>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</si>
  <si>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</si>
  <si>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</si>
  <si>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</si>
  <si>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</si>
  <si>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</si>
  <si>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</si>
  <si>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</si>
  <si>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</si>
  <si>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</si>
  <si>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</si>
  <si>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</si>
  <si>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</si>
  <si>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</si>
  <si>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</si>
  <si>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</si>
  <si>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</si>
  <si>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</si>
  <si>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</si>
  <si>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</si>
  <si>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</si>
  <si>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</si>
  <si>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</si>
  <si>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</si>
  <si>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</si>
  <si>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</si>
  <si>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</si>
  <si>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</si>
  <si>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</si>
  <si>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</si>
  <si>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</si>
  <si>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</si>
  <si>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</si>
  <si>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</si>
  <si>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</si>
  <si>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</si>
  <si>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</si>
  <si>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</si>
  <si>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</si>
  <si>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</si>
  <si>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</si>
  <si>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</si>
  <si>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</si>
  <si>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</si>
  <si>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</si>
  <si>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</si>
  <si>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</si>
  <si>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</si>
  <si>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</si>
  <si>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</si>
  <si>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</si>
  <si>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</si>
  <si>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</si>
  <si>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</si>
  <si>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</si>
  <si>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</si>
  <si>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</si>
  <si>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</si>
  <si>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</si>
  <si>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</si>
  <si>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</si>
  <si>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</si>
  <si>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</si>
  <si>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</si>
  <si>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</si>
  <si>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</si>
  <si>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</si>
  <si>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</si>
  <si>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</si>
  <si>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</si>
  <si>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</si>
  <si>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</si>
  <si>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</si>
  <si>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</si>
  <si>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</si>
  <si>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</si>
  <si>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</si>
  <si>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</si>
  <si>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</si>
  <si>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</si>
  <si>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</si>
  <si>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</si>
  <si>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</si>
  <si>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</si>
  <si>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</si>
  <si>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</si>
  <si>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</si>
  <si>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</si>
  <si>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</si>
  <si>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</si>
  <si>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</si>
  <si>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</si>
  <si>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</si>
  <si>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</si>
  <si>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</si>
  <si>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</si>
  <si>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</si>
  <si>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</si>
  <si>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</si>
  <si>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</si>
  <si>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</si>
  <si>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</si>
  <si>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</si>
  <si>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</si>
  <si>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</si>
  <si>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</si>
  <si>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</si>
  <si>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</si>
  <si>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</si>
  <si>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</si>
  <si>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</si>
  <si>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</si>
  <si>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</si>
  <si>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</si>
  <si>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</si>
  <si>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</si>
  <si>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</si>
  <si>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</si>
  <si>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</si>
  <si>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</si>
  <si>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</si>
  <si>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</si>
  <si>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</si>
  <si>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</si>
  <si>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</si>
  <si>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</si>
  <si>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</si>
  <si>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</si>
  <si>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</si>
  <si>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</si>
  <si>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</si>
  <si>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</si>
  <si>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</si>
  <si>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</si>
  <si>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</si>
  <si>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</si>
  <si>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</si>
  <si>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</si>
  <si>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</si>
  <si>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</si>
  <si>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</si>
  <si>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</si>
  <si>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</si>
  <si>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</si>
  <si>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</si>
  <si>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</si>
  <si>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</si>
  <si>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</si>
  <si>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</si>
  <si>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</si>
  <si>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</si>
  <si>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</si>
  <si>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</si>
  <si>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</si>
  <si>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</si>
  <si>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</si>
  <si>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</si>
  <si>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</si>
  <si>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</si>
  <si>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</si>
  <si>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</si>
  <si>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</si>
  <si>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</si>
  <si>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</si>
  <si>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</si>
  <si>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</si>
  <si>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</si>
  <si>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</si>
  <si>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</si>
  <si>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</si>
  <si>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</si>
  <si>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</si>
  <si>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</si>
  <si>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</si>
  <si>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</si>
  <si>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</si>
  <si>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</si>
  <si>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</si>
  <si>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</si>
  <si>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</si>
  <si>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</si>
  <si>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</si>
  <si>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</si>
  <si>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</si>
  <si>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</si>
  <si>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</si>
  <si>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</si>
  <si>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</si>
  <si>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</si>
  <si>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</si>
  <si>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</si>
  <si>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</si>
  <si>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</si>
  <si>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</si>
  <si>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</si>
  <si>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</si>
  <si>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</si>
  <si>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</si>
  <si>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</si>
  <si>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</si>
  <si>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</si>
  <si>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</si>
  <si>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</si>
  <si>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</si>
  <si>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</si>
  <si>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</si>
  <si>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</si>
  <si>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</si>
  <si>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</si>
  <si>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</si>
  <si>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</si>
  <si>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</si>
  <si>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</si>
  <si>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</si>
  <si>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</si>
  <si>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</si>
  <si>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</si>
  <si>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</si>
  <si>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</si>
  <si>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</si>
  <si>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</si>
  <si>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</si>
  <si>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</si>
  <si>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</si>
  <si>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</si>
  <si>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</si>
  <si>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</si>
  <si>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</si>
  <si>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</si>
  <si>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</si>
  <si>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</si>
  <si>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</si>
  <si>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</si>
  <si>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</si>
  <si>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</si>
  <si>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</si>
  <si>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</si>
  <si>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</si>
  <si>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</si>
  <si>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</si>
  <si>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</si>
  <si>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</si>
  <si>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</si>
  <si>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</si>
  <si>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</si>
  <si>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</si>
  <si>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</si>
  <si>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</si>
  <si>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</si>
  <si>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</si>
  <si>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</si>
  <si>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</si>
  <si>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</si>
  <si>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</si>
  <si>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</si>
  <si>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</si>
  <si>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</si>
  <si>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</si>
  <si>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</si>
  <si>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</si>
  <si>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</si>
  <si>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</si>
  <si>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</si>
  <si>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</si>
  <si>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</si>
  <si>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</si>
  <si>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</si>
  <si>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</si>
  <si>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</si>
  <si>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</si>
  <si>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</si>
  <si>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</si>
  <si>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</si>
  <si>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</si>
  <si>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</si>
  <si>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</si>
  <si>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</si>
  <si>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</si>
  <si>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</si>
  <si>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</si>
  <si>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</si>
  <si>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</si>
  <si>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</si>
  <si>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</si>
  <si>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</si>
  <si>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</si>
  <si>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</si>
  <si>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</si>
  <si>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</si>
  <si>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</si>
  <si>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</si>
  <si>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</si>
  <si>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</si>
  <si>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</si>
  <si>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</si>
  <si>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</si>
  <si>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</si>
  <si>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</si>
  <si>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</si>
  <si>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</si>
  <si>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</si>
  <si>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</si>
  <si>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</si>
  <si>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</si>
  <si>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</si>
  <si>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</si>
  <si>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</si>
  <si>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</si>
  <si>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</si>
  <si>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</si>
  <si>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</si>
  <si>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</si>
  <si>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</si>
  <si>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</si>
  <si>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</si>
  <si>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</si>
  <si>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</si>
  <si>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</si>
  <si>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</si>
  <si>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</si>
  <si>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</si>
  <si>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</si>
  <si>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</si>
  <si>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</si>
  <si>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</si>
  <si>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</si>
  <si>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</si>
  <si>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</si>
  <si>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</si>
  <si>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</si>
  <si>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</si>
  <si>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</si>
  <si>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</si>
  <si>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</si>
  <si>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</si>
  <si>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</si>
  <si>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</si>
  <si>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</si>
  <si>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</si>
  <si>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</si>
  <si>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</si>
  <si>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</si>
  <si>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</si>
  <si>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</si>
  <si>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</si>
  <si>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</si>
  <si>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</si>
  <si>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</si>
  <si>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</si>
  <si>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</si>
  <si>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</si>
  <si>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</si>
  <si>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</si>
  <si>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</si>
  <si>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</si>
  <si>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</si>
  <si>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</si>
  <si>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</si>
  <si>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</si>
  <si>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</si>
  <si>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</si>
  <si>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</si>
  <si>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</si>
  <si>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</si>
  <si>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</si>
  <si>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</si>
  <si>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</si>
  <si>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</si>
  <si>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</si>
  <si>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</si>
  <si>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</si>
  <si>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</si>
  <si>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</si>
  <si>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</si>
  <si>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</si>
  <si>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</si>
  <si>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</si>
  <si>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Freedom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</si>
</sst>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187</v>
      </c>
      <c r="C2" s="21">
        <v>187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131656.51999999999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889454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11541.05</v>
      </c>
      <c r="G12" s="18"/>
      <c r="H12" s="18">
        <v>2643.77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810.67</v>
      </c>
      <c r="G13" s="18"/>
      <c r="H13" s="18">
        <v>15489.57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18910.48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162918.72</v>
      </c>
      <c r="G19" s="41">
        <f>SUM(G9:G18)</f>
        <v>0</v>
      </c>
      <c r="H19" s="41">
        <f>SUM(H9:H18)</f>
        <v>18133.34</v>
      </c>
      <c r="I19" s="41">
        <f>SUM(I9:I18)</f>
        <v>0</v>
      </c>
      <c r="J19" s="41">
        <f>SUM(J9:J18)</f>
        <v>889454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v>14184.82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111107.72</v>
      </c>
      <c r="G24" s="18"/>
      <c r="H24" s="18">
        <v>3948.52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-633.69000000000005</v>
      </c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110474.03</v>
      </c>
      <c r="G32" s="41">
        <f>SUM(G22:G31)</f>
        <v>0</v>
      </c>
      <c r="H32" s="41">
        <f>SUM(H22:H31)</f>
        <v>18133.34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52444.69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889454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0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52444.69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889454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162918.72</v>
      </c>
      <c r="G52" s="41">
        <f>G51+G32</f>
        <v>0</v>
      </c>
      <c r="H52" s="41">
        <f>H51+H32</f>
        <v>18133.34</v>
      </c>
      <c r="I52" s="41">
        <f>I51+I32</f>
        <v>0</v>
      </c>
      <c r="J52" s="41">
        <f>J51+J32</f>
        <v>889454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2465227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2465227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66524.23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66524.23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67754.02</v>
      </c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67754.02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38.36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21695.16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21733.52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2621238.77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1069028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1379.42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1070407.42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1070407.42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56228.06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22535.67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2942.16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2942.16</v>
      </c>
      <c r="G162" s="41">
        <f>SUM(G150:G161)</f>
        <v>0</v>
      </c>
      <c r="H162" s="41">
        <f>SUM(H150:H161)</f>
        <v>78763.73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2942.16</v>
      </c>
      <c r="G169" s="41">
        <f>G147+G162+SUM(G163:G168)</f>
        <v>0</v>
      </c>
      <c r="H169" s="41">
        <f>H147+H162+SUM(H163:H168)</f>
        <v>78763.73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37213.49</v>
      </c>
      <c r="H179" s="18"/>
      <c r="I179" s="18"/>
      <c r="J179" s="18">
        <v>70000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37213.49</v>
      </c>
      <c r="H183" s="41">
        <f>SUM(H179:H182)</f>
        <v>0</v>
      </c>
      <c r="I183" s="41">
        <f>SUM(I179:I182)</f>
        <v>0</v>
      </c>
      <c r="J183" s="41">
        <f>SUM(J179:J182)</f>
        <v>70000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80400</v>
      </c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80400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80400</v>
      </c>
      <c r="G192" s="41">
        <f>G183+SUM(G188:G191)</f>
        <v>37213.49</v>
      </c>
      <c r="H192" s="41">
        <f>+H183+SUM(H188:H191)</f>
        <v>0</v>
      </c>
      <c r="I192" s="41">
        <f>I177+I183+SUM(I188:I191)</f>
        <v>0</v>
      </c>
      <c r="J192" s="41">
        <f>J183</f>
        <v>70000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3774988.35</v>
      </c>
      <c r="G193" s="47">
        <f>G112+G140+G169+G192</f>
        <v>37213.49</v>
      </c>
      <c r="H193" s="47">
        <f>H112+H140+H169+H192</f>
        <v>78763.73</v>
      </c>
      <c r="I193" s="47">
        <f>I112+I140+I169+I192</f>
        <v>0</v>
      </c>
      <c r="J193" s="47">
        <f>J112+J140+J192</f>
        <v>70000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399072.28</v>
      </c>
      <c r="G197" s="18">
        <v>176876.85</v>
      </c>
      <c r="H197" s="18">
        <v>29709</v>
      </c>
      <c r="I197" s="18">
        <v>17114</v>
      </c>
      <c r="J197" s="18">
        <v>3145.87</v>
      </c>
      <c r="K197" s="18">
        <v>75</v>
      </c>
      <c r="L197" s="19">
        <f>SUM(F197:K197)</f>
        <v>625993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170343.09</v>
      </c>
      <c r="G198" s="18">
        <v>114669.68</v>
      </c>
      <c r="H198" s="18">
        <v>47280.89</v>
      </c>
      <c r="I198" s="18">
        <v>383.16</v>
      </c>
      <c r="J198" s="18"/>
      <c r="K198" s="18"/>
      <c r="L198" s="19">
        <f>SUM(F198:K198)</f>
        <v>332676.82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1148.28</v>
      </c>
      <c r="G200" s="18">
        <v>172.01</v>
      </c>
      <c r="H200" s="18">
        <v>7843</v>
      </c>
      <c r="I200" s="18"/>
      <c r="J200" s="18"/>
      <c r="K200" s="18"/>
      <c r="L200" s="19">
        <f>SUM(F200:K200)</f>
        <v>9163.2900000000009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64169.48</v>
      </c>
      <c r="G202" s="18">
        <v>5696.92</v>
      </c>
      <c r="H202" s="18">
        <v>114420.04</v>
      </c>
      <c r="I202" s="18">
        <v>1084</v>
      </c>
      <c r="J202" s="18">
        <v>205</v>
      </c>
      <c r="K202" s="18">
        <v>315</v>
      </c>
      <c r="L202" s="19">
        <f t="shared" ref="L202:L208" si="0">SUM(F202:K202)</f>
        <v>185890.44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4555.45</v>
      </c>
      <c r="G203" s="18">
        <v>5018.01</v>
      </c>
      <c r="H203" s="18">
        <v>2302.17</v>
      </c>
      <c r="I203" s="18">
        <v>16596</v>
      </c>
      <c r="J203" s="18"/>
      <c r="K203" s="18"/>
      <c r="L203" s="19">
        <f t="shared" si="0"/>
        <v>28471.629999999997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19448</v>
      </c>
      <c r="G204" s="18">
        <v>1472.63</v>
      </c>
      <c r="H204" s="18">
        <v>208182.47</v>
      </c>
      <c r="I204" s="18"/>
      <c r="J204" s="18"/>
      <c r="K204" s="18">
        <v>2811.49</v>
      </c>
      <c r="L204" s="19">
        <f t="shared" si="0"/>
        <v>231914.59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113845.55</v>
      </c>
      <c r="G205" s="18">
        <v>76038.19</v>
      </c>
      <c r="H205" s="18">
        <v>5170.66</v>
      </c>
      <c r="I205" s="18">
        <v>595.4</v>
      </c>
      <c r="J205" s="18">
        <v>5680.16</v>
      </c>
      <c r="K205" s="18">
        <v>910</v>
      </c>
      <c r="L205" s="19">
        <f t="shared" si="0"/>
        <v>202239.96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34077.93</v>
      </c>
      <c r="G207" s="18">
        <v>28359.599999999999</v>
      </c>
      <c r="H207" s="18">
        <v>36538.019999999997</v>
      </c>
      <c r="I207" s="18">
        <v>35803.35</v>
      </c>
      <c r="J207" s="18">
        <v>93991.6</v>
      </c>
      <c r="K207" s="18"/>
      <c r="L207" s="19">
        <f t="shared" si="0"/>
        <v>228770.5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57679.67</v>
      </c>
      <c r="G208" s="18">
        <v>64267.47</v>
      </c>
      <c r="H208" s="18">
        <v>30388.23</v>
      </c>
      <c r="I208" s="18">
        <v>13247.35</v>
      </c>
      <c r="J208" s="18">
        <v>156.07</v>
      </c>
      <c r="K208" s="18">
        <v>175.68</v>
      </c>
      <c r="L208" s="19">
        <f t="shared" si="0"/>
        <v>165914.47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1352.86</v>
      </c>
      <c r="I209" s="18"/>
      <c r="J209" s="18"/>
      <c r="K209" s="18"/>
      <c r="L209" s="19">
        <f>SUM(F209:K209)</f>
        <v>1352.86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864339.7300000001</v>
      </c>
      <c r="G211" s="41">
        <f t="shared" si="1"/>
        <v>472571.36</v>
      </c>
      <c r="H211" s="41">
        <f t="shared" si="1"/>
        <v>483187.33999999997</v>
      </c>
      <c r="I211" s="41">
        <f t="shared" si="1"/>
        <v>84823.260000000009</v>
      </c>
      <c r="J211" s="41">
        <f t="shared" si="1"/>
        <v>103178.70000000001</v>
      </c>
      <c r="K211" s="41">
        <f t="shared" si="1"/>
        <v>4287.17</v>
      </c>
      <c r="L211" s="41">
        <f t="shared" si="1"/>
        <v>2012387.56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490816</v>
      </c>
      <c r="I215" s="18"/>
      <c r="J215" s="18"/>
      <c r="K215" s="18"/>
      <c r="L215" s="19">
        <f>SUM(F215:K215)</f>
        <v>490816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>
        <v>3838.68</v>
      </c>
      <c r="I216" s="18"/>
      <c r="J216" s="18"/>
      <c r="K216" s="18"/>
      <c r="L216" s="19">
        <f>SUM(F216:K216)</f>
        <v>3838.68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18876.98</v>
      </c>
      <c r="G226" s="18">
        <v>21032.99</v>
      </c>
      <c r="H226" s="18">
        <v>8948.24</v>
      </c>
      <c r="I226" s="18">
        <v>3161.89</v>
      </c>
      <c r="J226" s="18">
        <v>17.04</v>
      </c>
      <c r="K226" s="18">
        <v>57.5</v>
      </c>
      <c r="L226" s="19">
        <f t="shared" si="2"/>
        <v>52094.64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18876.98</v>
      </c>
      <c r="G229" s="41">
        <f>SUM(G215:G228)</f>
        <v>21032.99</v>
      </c>
      <c r="H229" s="41">
        <f>SUM(H215:H228)</f>
        <v>503602.92</v>
      </c>
      <c r="I229" s="41">
        <f>SUM(I215:I228)</f>
        <v>3161.89</v>
      </c>
      <c r="J229" s="41">
        <f>SUM(J215:J228)</f>
        <v>17.04</v>
      </c>
      <c r="K229" s="41">
        <f t="shared" si="3"/>
        <v>57.5</v>
      </c>
      <c r="L229" s="41">
        <f t="shared" si="3"/>
        <v>546749.31999999995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984942</v>
      </c>
      <c r="I233" s="18"/>
      <c r="J233" s="18"/>
      <c r="K233" s="18"/>
      <c r="L233" s="19">
        <f>SUM(F233:K233)</f>
        <v>984942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62634.48</v>
      </c>
      <c r="I234" s="18"/>
      <c r="J234" s="18"/>
      <c r="K234" s="18"/>
      <c r="L234" s="19">
        <f>SUM(F234:K234)</f>
        <v>62634.48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31461.64</v>
      </c>
      <c r="G244" s="18">
        <v>35054.99</v>
      </c>
      <c r="H244" s="18">
        <v>14913.73</v>
      </c>
      <c r="I244" s="18">
        <v>5269.82</v>
      </c>
      <c r="J244" s="18">
        <v>28.41</v>
      </c>
      <c r="K244" s="18">
        <v>95.82</v>
      </c>
      <c r="L244" s="19">
        <f t="shared" si="4"/>
        <v>86824.41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31461.64</v>
      </c>
      <c r="G247" s="41">
        <f t="shared" si="5"/>
        <v>35054.99</v>
      </c>
      <c r="H247" s="41">
        <f t="shared" si="5"/>
        <v>1062490.21</v>
      </c>
      <c r="I247" s="41">
        <f t="shared" si="5"/>
        <v>5269.82</v>
      </c>
      <c r="J247" s="41">
        <f t="shared" si="5"/>
        <v>28.41</v>
      </c>
      <c r="K247" s="41">
        <f t="shared" si="5"/>
        <v>95.82</v>
      </c>
      <c r="L247" s="41">
        <f t="shared" si="5"/>
        <v>1134400.8899999999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914678.35000000009</v>
      </c>
      <c r="G257" s="41">
        <f t="shared" si="8"/>
        <v>528659.34</v>
      </c>
      <c r="H257" s="41">
        <f t="shared" si="8"/>
        <v>2049280.47</v>
      </c>
      <c r="I257" s="41">
        <f t="shared" si="8"/>
        <v>93254.97</v>
      </c>
      <c r="J257" s="41">
        <f t="shared" si="8"/>
        <v>103224.15000000001</v>
      </c>
      <c r="K257" s="41">
        <f t="shared" si="8"/>
        <v>4440.49</v>
      </c>
      <c r="L257" s="41">
        <f t="shared" si="8"/>
        <v>3693537.7699999996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37213.49</v>
      </c>
      <c r="L263" s="19">
        <f>SUM(F263:K263)</f>
        <v>37213.49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70000</v>
      </c>
      <c r="L266" s="19">
        <f t="shared" si="9"/>
        <v>70000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107213.48999999999</v>
      </c>
      <c r="L270" s="41">
        <f t="shared" si="9"/>
        <v>107213.48999999999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914678.35000000009</v>
      </c>
      <c r="G271" s="42">
        <f t="shared" si="11"/>
        <v>528659.34</v>
      </c>
      <c r="H271" s="42">
        <f t="shared" si="11"/>
        <v>2049280.47</v>
      </c>
      <c r="I271" s="42">
        <f t="shared" si="11"/>
        <v>93254.97</v>
      </c>
      <c r="J271" s="42">
        <f t="shared" si="11"/>
        <v>103224.15000000001</v>
      </c>
      <c r="K271" s="42">
        <f t="shared" si="11"/>
        <v>111653.98</v>
      </c>
      <c r="L271" s="42">
        <f t="shared" si="11"/>
        <v>3800751.26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16382.78</v>
      </c>
      <c r="G276" s="18">
        <v>1665.82</v>
      </c>
      <c r="H276" s="18">
        <v>9273.5499999999993</v>
      </c>
      <c r="I276" s="18">
        <v>35662.519999999997</v>
      </c>
      <c r="J276" s="18">
        <v>2736.95</v>
      </c>
      <c r="K276" s="18"/>
      <c r="L276" s="19">
        <f>SUM(F276:K276)</f>
        <v>65721.62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3600</v>
      </c>
      <c r="G282" s="18">
        <v>899.67</v>
      </c>
      <c r="H282" s="18">
        <v>3427.47</v>
      </c>
      <c r="I282" s="18">
        <v>751.6</v>
      </c>
      <c r="J282" s="18"/>
      <c r="K282" s="18"/>
      <c r="L282" s="19">
        <f t="shared" si="12"/>
        <v>8678.74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600</v>
      </c>
      <c r="G283" s="18">
        <v>139.91999999999999</v>
      </c>
      <c r="H283" s="18"/>
      <c r="I283" s="18"/>
      <c r="J283" s="18"/>
      <c r="K283" s="18">
        <v>3048.03</v>
      </c>
      <c r="L283" s="19">
        <f t="shared" si="12"/>
        <v>3787.9500000000003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575.42999999999995</v>
      </c>
      <c r="L285" s="19">
        <f t="shared" si="12"/>
        <v>575.42999999999995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20582.78</v>
      </c>
      <c r="G290" s="42">
        <f t="shared" si="13"/>
        <v>2705.41</v>
      </c>
      <c r="H290" s="42">
        <f t="shared" si="13"/>
        <v>12701.019999999999</v>
      </c>
      <c r="I290" s="42">
        <f t="shared" si="13"/>
        <v>36414.119999999995</v>
      </c>
      <c r="J290" s="42">
        <f t="shared" si="13"/>
        <v>2736.95</v>
      </c>
      <c r="K290" s="42">
        <f t="shared" si="13"/>
        <v>3623.46</v>
      </c>
      <c r="L290" s="41">
        <f t="shared" si="13"/>
        <v>78763.739999999991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20582.78</v>
      </c>
      <c r="G338" s="41">
        <f t="shared" si="20"/>
        <v>2705.41</v>
      </c>
      <c r="H338" s="41">
        <f t="shared" si="20"/>
        <v>12701.019999999999</v>
      </c>
      <c r="I338" s="41">
        <f t="shared" si="20"/>
        <v>36414.119999999995</v>
      </c>
      <c r="J338" s="41">
        <f t="shared" si="20"/>
        <v>2736.95</v>
      </c>
      <c r="K338" s="41">
        <f t="shared" si="20"/>
        <v>3623.46</v>
      </c>
      <c r="L338" s="41">
        <f t="shared" si="20"/>
        <v>78763.739999999991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20582.78</v>
      </c>
      <c r="G352" s="41">
        <f>G338</f>
        <v>2705.41</v>
      </c>
      <c r="H352" s="41">
        <f>H338</f>
        <v>12701.019999999999</v>
      </c>
      <c r="I352" s="41">
        <f>I338</f>
        <v>36414.119999999995</v>
      </c>
      <c r="J352" s="41">
        <f>J338</f>
        <v>2736.95</v>
      </c>
      <c r="K352" s="47">
        <f>K338+K351</f>
        <v>3623.46</v>
      </c>
      <c r="L352" s="41">
        <f>L338+L351</f>
        <v>78763.739999999991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16650.72</v>
      </c>
      <c r="G358" s="18">
        <v>1861.89</v>
      </c>
      <c r="H358" s="18">
        <v>18389.07</v>
      </c>
      <c r="I358" s="18">
        <v>311.81</v>
      </c>
      <c r="J358" s="18"/>
      <c r="K358" s="18"/>
      <c r="L358" s="13">
        <f>SUM(F358:K358)</f>
        <v>37213.49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16650.72</v>
      </c>
      <c r="G362" s="47">
        <f t="shared" si="22"/>
        <v>1861.89</v>
      </c>
      <c r="H362" s="47">
        <f t="shared" si="22"/>
        <v>18389.07</v>
      </c>
      <c r="I362" s="47">
        <f t="shared" si="22"/>
        <v>311.81</v>
      </c>
      <c r="J362" s="47">
        <f t="shared" si="22"/>
        <v>0</v>
      </c>
      <c r="K362" s="47">
        <f t="shared" si="22"/>
        <v>0</v>
      </c>
      <c r="L362" s="47">
        <f t="shared" si="22"/>
        <v>37213.49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29.3</v>
      </c>
      <c r="G367" s="18"/>
      <c r="H367" s="18"/>
      <c r="I367" s="56">
        <f>SUM(F367:H367)</f>
        <v>29.3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282.51</v>
      </c>
      <c r="G368" s="63"/>
      <c r="H368" s="63"/>
      <c r="I368" s="56">
        <f>SUM(F368:H368)</f>
        <v>282.51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311.81</v>
      </c>
      <c r="G369" s="47">
        <f>SUM(G367:G368)</f>
        <v>0</v>
      </c>
      <c r="H369" s="47">
        <f>SUM(H367:H368)</f>
        <v>0</v>
      </c>
      <c r="I369" s="47">
        <f>SUM(I367:I368)</f>
        <v>311.81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50000</v>
      </c>
      <c r="H389" s="18"/>
      <c r="I389" s="18"/>
      <c r="J389" s="24" t="s">
        <v>286</v>
      </c>
      <c r="K389" s="24" t="s">
        <v>286</v>
      </c>
      <c r="L389" s="56">
        <f t="shared" si="25"/>
        <v>50000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>
        <v>20000</v>
      </c>
      <c r="H390" s="18"/>
      <c r="I390" s="18"/>
      <c r="J390" s="24" t="s">
        <v>286</v>
      </c>
      <c r="K390" s="24" t="s">
        <v>286</v>
      </c>
      <c r="L390" s="56">
        <f t="shared" si="25"/>
        <v>20000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70000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70000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70000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70000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>
        <v>80400</v>
      </c>
      <c r="L415" s="56">
        <f t="shared" si="27"/>
        <v>80400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80400</v>
      </c>
      <c r="L419" s="47">
        <f t="shared" si="28"/>
        <v>80400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80400</v>
      </c>
      <c r="L434" s="47">
        <f t="shared" si="32"/>
        <v>80400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889454</v>
      </c>
      <c r="H440" s="18"/>
      <c r="I440" s="56">
        <f t="shared" si="33"/>
        <v>889454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889454</v>
      </c>
      <c r="H446" s="13">
        <f>SUM(H439:H445)</f>
        <v>0</v>
      </c>
      <c r="I446" s="13">
        <f>SUM(I439:I445)</f>
        <v>889454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889454</v>
      </c>
      <c r="H459" s="18"/>
      <c r="I459" s="56">
        <f t="shared" si="34"/>
        <v>889454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889454</v>
      </c>
      <c r="H460" s="83">
        <f>SUM(H454:H459)</f>
        <v>0</v>
      </c>
      <c r="I460" s="83">
        <f>SUM(I454:I459)</f>
        <v>889454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889454</v>
      </c>
      <c r="H461" s="42">
        <f>H452+H460</f>
        <v>0</v>
      </c>
      <c r="I461" s="42">
        <f>I452+I460</f>
        <v>889454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78208</v>
      </c>
      <c r="G465" s="18"/>
      <c r="H465" s="18"/>
      <c r="I465" s="18"/>
      <c r="J465" s="18">
        <v>899854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3774988.35</v>
      </c>
      <c r="G468" s="18">
        <v>37213.49</v>
      </c>
      <c r="H468" s="18">
        <v>78763.73</v>
      </c>
      <c r="I468" s="18"/>
      <c r="J468" s="18">
        <v>70000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>
        <v>0.01</v>
      </c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3774988.35</v>
      </c>
      <c r="G470" s="53">
        <f>SUM(G468:G469)</f>
        <v>37213.49</v>
      </c>
      <c r="H470" s="53">
        <f>SUM(H468:H469)</f>
        <v>78763.739999999991</v>
      </c>
      <c r="I470" s="53">
        <f>SUM(I468:I469)</f>
        <v>0</v>
      </c>
      <c r="J470" s="53">
        <f>SUM(J468:J469)</f>
        <v>70000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3800751.26</v>
      </c>
      <c r="G472" s="18">
        <v>37213.49</v>
      </c>
      <c r="H472" s="18">
        <v>78763.740000000005</v>
      </c>
      <c r="I472" s="18"/>
      <c r="J472" s="18">
        <v>80400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0.4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3800751.6599999997</v>
      </c>
      <c r="G474" s="53">
        <f>SUM(G472:G473)</f>
        <v>37213.49</v>
      </c>
      <c r="H474" s="53">
        <f>SUM(H472:H473)</f>
        <v>78763.740000000005</v>
      </c>
      <c r="I474" s="53">
        <f>SUM(I472:I473)</f>
        <v>0</v>
      </c>
      <c r="J474" s="53">
        <f>SUM(J472:J473)</f>
        <v>80400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52444.69000000041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889454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0</v>
      </c>
      <c r="G507" s="144">
        <v>15635.63</v>
      </c>
      <c r="H507" s="144">
        <v>0</v>
      </c>
      <c r="I507" s="144">
        <v>15635.63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170343.09</v>
      </c>
      <c r="G521" s="18">
        <v>114669.68</v>
      </c>
      <c r="H521" s="18">
        <v>47280.89</v>
      </c>
      <c r="I521" s="18">
        <v>383.16</v>
      </c>
      <c r="J521" s="18"/>
      <c r="K521" s="18"/>
      <c r="L521" s="88">
        <f>SUM(F521:K521)</f>
        <v>332676.82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>
        <v>3838.68</v>
      </c>
      <c r="I522" s="18"/>
      <c r="J522" s="18"/>
      <c r="K522" s="18"/>
      <c r="L522" s="88">
        <f>SUM(F522:K522)</f>
        <v>3838.68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58245.1</v>
      </c>
      <c r="I523" s="18"/>
      <c r="J523" s="18"/>
      <c r="K523" s="18"/>
      <c r="L523" s="88">
        <f>SUM(F523:K523)</f>
        <v>58245.1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170343.09</v>
      </c>
      <c r="G524" s="108">
        <f t="shared" ref="G524:L524" si="36">SUM(G521:G523)</f>
        <v>114669.68</v>
      </c>
      <c r="H524" s="108">
        <f t="shared" si="36"/>
        <v>109364.67</v>
      </c>
      <c r="I524" s="108">
        <f t="shared" si="36"/>
        <v>383.16</v>
      </c>
      <c r="J524" s="108">
        <f t="shared" si="36"/>
        <v>0</v>
      </c>
      <c r="K524" s="108">
        <f t="shared" si="36"/>
        <v>0</v>
      </c>
      <c r="L524" s="89">
        <f t="shared" si="36"/>
        <v>394760.6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1148.28</v>
      </c>
      <c r="G526" s="18">
        <v>172.01</v>
      </c>
      <c r="H526" s="18">
        <v>7843</v>
      </c>
      <c r="I526" s="18"/>
      <c r="J526" s="18"/>
      <c r="K526" s="18"/>
      <c r="L526" s="88">
        <f>SUM(F526:K526)</f>
        <v>9163.2900000000009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1148.28</v>
      </c>
      <c r="G529" s="89">
        <f t="shared" ref="G529:L529" si="37">SUM(G526:G528)</f>
        <v>172.01</v>
      </c>
      <c r="H529" s="89">
        <f t="shared" si="37"/>
        <v>7843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9163.2900000000009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21826.9</v>
      </c>
      <c r="G531" s="18">
        <v>5661.86</v>
      </c>
      <c r="H531" s="18">
        <v>917.45</v>
      </c>
      <c r="I531" s="18">
        <v>31.14</v>
      </c>
      <c r="J531" s="18">
        <v>269.45</v>
      </c>
      <c r="K531" s="18">
        <v>171.22</v>
      </c>
      <c r="L531" s="88">
        <f>SUM(F531:K531)</f>
        <v>28878.020000000004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21826.9</v>
      </c>
      <c r="G534" s="89">
        <f t="shared" ref="G534:L534" si="38">SUM(G531:G533)</f>
        <v>5661.86</v>
      </c>
      <c r="H534" s="89">
        <f t="shared" si="38"/>
        <v>917.45</v>
      </c>
      <c r="I534" s="89">
        <f t="shared" si="38"/>
        <v>31.14</v>
      </c>
      <c r="J534" s="89">
        <f t="shared" si="38"/>
        <v>269.45</v>
      </c>
      <c r="K534" s="89">
        <f t="shared" si="38"/>
        <v>171.22</v>
      </c>
      <c r="L534" s="89">
        <f t="shared" si="38"/>
        <v>28878.020000000004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9281.7800000000007</v>
      </c>
      <c r="I541" s="18"/>
      <c r="J541" s="18"/>
      <c r="K541" s="18"/>
      <c r="L541" s="88">
        <f>SUM(F541:K541)</f>
        <v>9281.7800000000007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16540</v>
      </c>
      <c r="I543" s="18"/>
      <c r="J543" s="18"/>
      <c r="K543" s="18"/>
      <c r="L543" s="88">
        <f>SUM(F543:K543)</f>
        <v>16540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25821.78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25821.78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193318.27</v>
      </c>
      <c r="G545" s="89">
        <f t="shared" ref="G545:L545" si="41">G524+G529+G534+G539+G544</f>
        <v>120503.54999999999</v>
      </c>
      <c r="H545" s="89">
        <f t="shared" si="41"/>
        <v>143946.9</v>
      </c>
      <c r="I545" s="89">
        <f t="shared" si="41"/>
        <v>414.3</v>
      </c>
      <c r="J545" s="89">
        <f t="shared" si="41"/>
        <v>269.45</v>
      </c>
      <c r="K545" s="89">
        <f t="shared" si="41"/>
        <v>171.22</v>
      </c>
      <c r="L545" s="89">
        <f t="shared" si="41"/>
        <v>458623.68999999994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332676.82</v>
      </c>
      <c r="G549" s="87">
        <f>L526</f>
        <v>9163.2900000000009</v>
      </c>
      <c r="H549" s="87">
        <f>L531</f>
        <v>28878.020000000004</v>
      </c>
      <c r="I549" s="87">
        <f>L536</f>
        <v>0</v>
      </c>
      <c r="J549" s="87">
        <f>L541</f>
        <v>9281.7800000000007</v>
      </c>
      <c r="K549" s="87">
        <f>SUM(F549:J549)</f>
        <v>379999.91000000003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3838.68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3838.68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58245.1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16540</v>
      </c>
      <c r="K551" s="87">
        <f>SUM(F551:J551)</f>
        <v>74785.100000000006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394760.6</v>
      </c>
      <c r="G552" s="89">
        <f t="shared" si="42"/>
        <v>9163.2900000000009</v>
      </c>
      <c r="H552" s="89">
        <f t="shared" si="42"/>
        <v>28878.020000000004</v>
      </c>
      <c r="I552" s="89">
        <f t="shared" si="42"/>
        <v>0</v>
      </c>
      <c r="J552" s="89">
        <f t="shared" si="42"/>
        <v>25821.78</v>
      </c>
      <c r="K552" s="89">
        <f t="shared" si="42"/>
        <v>458623.69000000006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>
        <v>490816</v>
      </c>
      <c r="H575" s="18">
        <v>984942</v>
      </c>
      <c r="I575" s="87">
        <f>SUM(F575:H575)</f>
        <v>1475758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155423.79</v>
      </c>
      <c r="I591" s="18">
        <v>52094.64</v>
      </c>
      <c r="J591" s="18">
        <v>70284.41</v>
      </c>
      <c r="K591" s="104">
        <f t="shared" ref="K591:K597" si="48">SUM(H591:J591)</f>
        <v>277802.83999999997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9281.7800000000007</v>
      </c>
      <c r="I592" s="18"/>
      <c r="J592" s="18">
        <v>16540</v>
      </c>
      <c r="K592" s="104">
        <f t="shared" si="48"/>
        <v>25821.78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1208.9000000000001</v>
      </c>
      <c r="I595" s="18"/>
      <c r="J595" s="18"/>
      <c r="K595" s="104">
        <f t="shared" si="48"/>
        <v>1208.9000000000001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165914.47</v>
      </c>
      <c r="I598" s="108">
        <f>SUM(I591:I597)</f>
        <v>52094.64</v>
      </c>
      <c r="J598" s="108">
        <f>SUM(J591:J597)</f>
        <v>86824.41</v>
      </c>
      <c r="K598" s="108">
        <f>SUM(K591:K597)</f>
        <v>304833.52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105961.1</v>
      </c>
      <c r="I604" s="18"/>
      <c r="J604" s="18"/>
      <c r="K604" s="104">
        <f>SUM(H604:J604)</f>
        <v>105961.1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105961.1</v>
      </c>
      <c r="I605" s="108">
        <f>SUM(I602:I604)</f>
        <v>0</v>
      </c>
      <c r="J605" s="108">
        <f>SUM(J602:J604)</f>
        <v>0</v>
      </c>
      <c r="K605" s="108">
        <f>SUM(K602:K604)</f>
        <v>105961.1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162918.72</v>
      </c>
      <c r="H617" s="109">
        <f>SUM(F52)</f>
        <v>162918.72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18133.34</v>
      </c>
      <c r="H619" s="109">
        <f>SUM(H52)</f>
        <v>18133.34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889454</v>
      </c>
      <c r="H621" s="109">
        <f>SUM(J52)</f>
        <v>889454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52444.69</v>
      </c>
      <c r="H622" s="109">
        <f>F476</f>
        <v>52444.69000000041</v>
      </c>
      <c r="I622" s="121" t="s">
        <v>101</v>
      </c>
      <c r="J622" s="109">
        <f t="shared" ref="J622:J655" si="50">G622-H622</f>
        <v>-4.0745362639427185E-10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889454</v>
      </c>
      <c r="H626" s="109">
        <f>J476</f>
        <v>889454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3774988.35</v>
      </c>
      <c r="H627" s="104">
        <f>SUM(F468)</f>
        <v>3774988.35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37213.49</v>
      </c>
      <c r="H628" s="104">
        <f>SUM(G468)</f>
        <v>37213.49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78763.73</v>
      </c>
      <c r="H629" s="104">
        <f>SUM(H468)</f>
        <v>78763.73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70000</v>
      </c>
      <c r="H631" s="104">
        <f>SUM(J468)</f>
        <v>70000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3800751.26</v>
      </c>
      <c r="H632" s="104">
        <f>SUM(F472)</f>
        <v>3800751.26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78763.739999999991</v>
      </c>
      <c r="H633" s="104">
        <f>SUM(H472)</f>
        <v>78763.740000000005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311.81</v>
      </c>
      <c r="H634" s="104">
        <f>I369</f>
        <v>311.81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37213.49</v>
      </c>
      <c r="H635" s="104">
        <f>SUM(G472)</f>
        <v>37213.49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70000</v>
      </c>
      <c r="H637" s="164">
        <f>SUM(J468)</f>
        <v>70000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80400</v>
      </c>
      <c r="H638" s="164">
        <f>SUM(J472)</f>
        <v>80400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889454</v>
      </c>
      <c r="H640" s="104">
        <f>SUM(G461)</f>
        <v>889454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889454</v>
      </c>
      <c r="H642" s="104">
        <f>SUM(I461)</f>
        <v>889454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70000</v>
      </c>
      <c r="H645" s="104">
        <f>G408</f>
        <v>70000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70000</v>
      </c>
      <c r="H646" s="104">
        <f>L408</f>
        <v>70000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304833.52</v>
      </c>
      <c r="H647" s="104">
        <f>L208+L226+L244</f>
        <v>304833.52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105961.1</v>
      </c>
      <c r="H648" s="104">
        <f>(J257+J338)-(J255+J336)</f>
        <v>105961.1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165914.47</v>
      </c>
      <c r="H649" s="104">
        <f>H598</f>
        <v>165914.47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52094.64</v>
      </c>
      <c r="H650" s="104">
        <f>I598</f>
        <v>52094.64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86824.41</v>
      </c>
      <c r="H651" s="104">
        <f>J598</f>
        <v>86824.41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37213.49</v>
      </c>
      <c r="H652" s="104">
        <f>K263+K345</f>
        <v>37213.49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70000</v>
      </c>
      <c r="H655" s="104">
        <f>K266+K347</f>
        <v>70000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2128364.79</v>
      </c>
      <c r="G660" s="19">
        <f>(L229+L309+L359)</f>
        <v>546749.31999999995</v>
      </c>
      <c r="H660" s="19">
        <f>(L247+L328+L360)</f>
        <v>1134400.8899999999</v>
      </c>
      <c r="I660" s="19">
        <f>SUM(F660:H660)</f>
        <v>3809515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165758.39999999999</v>
      </c>
      <c r="G662" s="19">
        <f>(L226+L306)-(J226+J306)</f>
        <v>52077.599999999999</v>
      </c>
      <c r="H662" s="19">
        <f>(L244+L325)-(J244+J325)</f>
        <v>86796</v>
      </c>
      <c r="I662" s="19">
        <f>SUM(F662:H662)</f>
        <v>304632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105961.1</v>
      </c>
      <c r="G663" s="199">
        <f>SUM(G575:G587)+SUM(I602:I604)+L612</f>
        <v>490816</v>
      </c>
      <c r="H663" s="199">
        <f>SUM(H575:H587)+SUM(J602:J604)+L613</f>
        <v>984942</v>
      </c>
      <c r="I663" s="19">
        <f>SUM(F663:H663)</f>
        <v>1581719.1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1856645.29</v>
      </c>
      <c r="G664" s="19">
        <f>G660-SUM(G661:G663)</f>
        <v>3855.7199999999721</v>
      </c>
      <c r="H664" s="19">
        <f>H660-SUM(H661:H663)</f>
        <v>62662.889999999898</v>
      </c>
      <c r="I664" s="19">
        <f>I660-SUM(I661:I663)</f>
        <v>1923163.9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59.08</v>
      </c>
      <c r="G665" s="248"/>
      <c r="H665" s="248"/>
      <c r="I665" s="19">
        <f>SUM(F665:H665)</f>
        <v>59.08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31425.95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32551.86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-3855.72</v>
      </c>
      <c r="H669" s="18">
        <v>-62662.89</v>
      </c>
      <c r="I669" s="19">
        <f>SUM(F669:H669)</f>
        <v>-66518.61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31425.95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31425.95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Freedom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415455.06000000006</v>
      </c>
      <c r="C9" s="229">
        <f>'DOE25'!G197+'DOE25'!G215+'DOE25'!G233+'DOE25'!G276+'DOE25'!G295+'DOE25'!G314</f>
        <v>178542.67</v>
      </c>
    </row>
    <row r="10" spans="1:3" x14ac:dyDescent="0.2">
      <c r="A10" t="s">
        <v>773</v>
      </c>
      <c r="B10" s="240">
        <v>415455.06</v>
      </c>
      <c r="C10" s="240">
        <v>178542.67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415455.06</v>
      </c>
      <c r="C13" s="231">
        <f>SUM(C10:C12)</f>
        <v>178542.67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170343.09</v>
      </c>
      <c r="C18" s="229">
        <f>'DOE25'!G198+'DOE25'!G216+'DOE25'!G234+'DOE25'!G277+'DOE25'!G296+'DOE25'!G315</f>
        <v>114669.68</v>
      </c>
    </row>
    <row r="19" spans="1:3" x14ac:dyDescent="0.2">
      <c r="A19" t="s">
        <v>773</v>
      </c>
      <c r="B19" s="240">
        <v>95286.45</v>
      </c>
      <c r="C19" s="240">
        <v>34163.5</v>
      </c>
    </row>
    <row r="20" spans="1:3" x14ac:dyDescent="0.2">
      <c r="A20" t="s">
        <v>774</v>
      </c>
      <c r="B20" s="240">
        <v>75056.639999999999</v>
      </c>
      <c r="C20" s="240">
        <v>80506.179999999993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170343.09</v>
      </c>
      <c r="C22" s="231">
        <f>SUM(C19:C21)</f>
        <v>114669.68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1148.28</v>
      </c>
      <c r="C36" s="235">
        <f>'DOE25'!G200+'DOE25'!G218+'DOE25'!G236+'DOE25'!G279+'DOE25'!G298+'DOE25'!G317</f>
        <v>172.01</v>
      </c>
    </row>
    <row r="37" spans="1:3" x14ac:dyDescent="0.2">
      <c r="A37" t="s">
        <v>773</v>
      </c>
      <c r="B37" s="240">
        <v>1148.28</v>
      </c>
      <c r="C37" s="240">
        <v>172.01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1148.28</v>
      </c>
      <c r="C40" s="231">
        <f>SUM(C37:C39)</f>
        <v>172.01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Freedom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2510064.27</v>
      </c>
      <c r="D5" s="20">
        <f>SUM('DOE25'!L197:L200)+SUM('DOE25'!L215:L218)+SUM('DOE25'!L233:L236)-F5-G5</f>
        <v>2506843.4</v>
      </c>
      <c r="E5" s="243"/>
      <c r="F5" s="255">
        <f>SUM('DOE25'!J197:J200)+SUM('DOE25'!J215:J218)+SUM('DOE25'!J233:J236)</f>
        <v>3145.87</v>
      </c>
      <c r="G5" s="53">
        <f>SUM('DOE25'!K197:K200)+SUM('DOE25'!K215:K218)+SUM('DOE25'!K233:K236)</f>
        <v>75</v>
      </c>
      <c r="H5" s="259"/>
    </row>
    <row r="6" spans="1:9" x14ac:dyDescent="0.2">
      <c r="A6" s="32">
        <v>2100</v>
      </c>
      <c r="B6" t="s">
        <v>795</v>
      </c>
      <c r="C6" s="245">
        <f t="shared" si="0"/>
        <v>185890.44</v>
      </c>
      <c r="D6" s="20">
        <f>'DOE25'!L202+'DOE25'!L220+'DOE25'!L238-F6-G6</f>
        <v>185370.44</v>
      </c>
      <c r="E6" s="243"/>
      <c r="F6" s="255">
        <f>'DOE25'!J202+'DOE25'!J220+'DOE25'!J238</f>
        <v>205</v>
      </c>
      <c r="G6" s="53">
        <f>'DOE25'!K202+'DOE25'!K220+'DOE25'!K238</f>
        <v>315</v>
      </c>
      <c r="H6" s="259"/>
    </row>
    <row r="7" spans="1:9" x14ac:dyDescent="0.2">
      <c r="A7" s="32">
        <v>2200</v>
      </c>
      <c r="B7" t="s">
        <v>828</v>
      </c>
      <c r="C7" s="245">
        <f t="shared" si="0"/>
        <v>28471.629999999997</v>
      </c>
      <c r="D7" s="20">
        <f>'DOE25'!L203+'DOE25'!L221+'DOE25'!L239-F7-G7</f>
        <v>28471.629999999997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154871.21</v>
      </c>
      <c r="D8" s="243"/>
      <c r="E8" s="20">
        <f>'DOE25'!L204+'DOE25'!L222+'DOE25'!L240-F8-G8-D9-D11</f>
        <v>152059.72</v>
      </c>
      <c r="F8" s="255">
        <f>'DOE25'!J204+'DOE25'!J222+'DOE25'!J240</f>
        <v>0</v>
      </c>
      <c r="G8" s="53">
        <f>'DOE25'!K204+'DOE25'!K222+'DOE25'!K240</f>
        <v>2811.49</v>
      </c>
      <c r="H8" s="259"/>
    </row>
    <row r="9" spans="1:9" x14ac:dyDescent="0.2">
      <c r="A9" s="32">
        <v>2310</v>
      </c>
      <c r="B9" t="s">
        <v>812</v>
      </c>
      <c r="C9" s="245">
        <f t="shared" si="0"/>
        <v>19377</v>
      </c>
      <c r="D9" s="244">
        <v>19377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57666.38</v>
      </c>
      <c r="D11" s="244">
        <v>57666.38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202239.96</v>
      </c>
      <c r="D12" s="20">
        <f>'DOE25'!L205+'DOE25'!L223+'DOE25'!L241-F12-G12</f>
        <v>195649.8</v>
      </c>
      <c r="E12" s="243"/>
      <c r="F12" s="255">
        <f>'DOE25'!J205+'DOE25'!J223+'DOE25'!J241</f>
        <v>5680.16</v>
      </c>
      <c r="G12" s="53">
        <f>'DOE25'!K205+'DOE25'!K223+'DOE25'!K241</f>
        <v>910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228770.5</v>
      </c>
      <c r="D14" s="20">
        <f>'DOE25'!L207+'DOE25'!L225+'DOE25'!L243-F14-G14</f>
        <v>134778.9</v>
      </c>
      <c r="E14" s="243"/>
      <c r="F14" s="255">
        <f>'DOE25'!J207+'DOE25'!J225+'DOE25'!J243</f>
        <v>93991.6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304833.52</v>
      </c>
      <c r="D15" s="20">
        <f>'DOE25'!L208+'DOE25'!L226+'DOE25'!L244-F15-G15</f>
        <v>304303</v>
      </c>
      <c r="E15" s="243"/>
      <c r="F15" s="255">
        <f>'DOE25'!J208+'DOE25'!J226+'DOE25'!J244</f>
        <v>201.51999999999998</v>
      </c>
      <c r="G15" s="53">
        <f>'DOE25'!K208+'DOE25'!K226+'DOE25'!K244</f>
        <v>329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1352.86</v>
      </c>
      <c r="D16" s="243"/>
      <c r="E16" s="20">
        <f>'DOE25'!L209+'DOE25'!L227+'DOE25'!L245-F16-G16</f>
        <v>1352.86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37184.189999999995</v>
      </c>
      <c r="D29" s="20">
        <f>'DOE25'!L358+'DOE25'!L359+'DOE25'!L360-'DOE25'!I367-F29-G29</f>
        <v>37184.189999999995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78763.739999999991</v>
      </c>
      <c r="D31" s="20">
        <f>'DOE25'!L290+'DOE25'!L309+'DOE25'!L328+'DOE25'!L333+'DOE25'!L334+'DOE25'!L335-F31-G31</f>
        <v>72403.329999999987</v>
      </c>
      <c r="E31" s="243"/>
      <c r="F31" s="255">
        <f>'DOE25'!J290+'DOE25'!J309+'DOE25'!J328+'DOE25'!J333+'DOE25'!J334+'DOE25'!J335</f>
        <v>2736.95</v>
      </c>
      <c r="G31" s="53">
        <f>'DOE25'!K290+'DOE25'!K309+'DOE25'!K328+'DOE25'!K333+'DOE25'!K334+'DOE25'!K335</f>
        <v>3623.46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3542048.0699999994</v>
      </c>
      <c r="E33" s="246">
        <f>SUM(E5:E31)</f>
        <v>160412.57999999999</v>
      </c>
      <c r="F33" s="246">
        <f>SUM(F5:F31)</f>
        <v>105961.1</v>
      </c>
      <c r="G33" s="246">
        <f>SUM(G5:G31)</f>
        <v>8063.95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160412.57999999999</v>
      </c>
      <c r="E35" s="249"/>
    </row>
    <row r="36" spans="2:8" ht="12" thickTop="1" x14ac:dyDescent="0.2">
      <c r="B36" t="s">
        <v>809</v>
      </c>
      <c r="D36" s="20">
        <f>D33</f>
        <v>3542048.0699999994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Freedom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131656.51999999999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889454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11541.05</v>
      </c>
      <c r="D11" s="95">
        <f>'DOE25'!G12</f>
        <v>0</v>
      </c>
      <c r="E11" s="95">
        <f>'DOE25'!H12</f>
        <v>2643.77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810.67</v>
      </c>
      <c r="D12" s="95">
        <f>'DOE25'!G13</f>
        <v>0</v>
      </c>
      <c r="E12" s="95">
        <f>'DOE25'!H13</f>
        <v>15489.57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18910.48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162918.72</v>
      </c>
      <c r="D18" s="41">
        <f>SUM(D8:D17)</f>
        <v>0</v>
      </c>
      <c r="E18" s="41">
        <f>SUM(E8:E17)</f>
        <v>18133.34</v>
      </c>
      <c r="F18" s="41">
        <f>SUM(F8:F17)</f>
        <v>0</v>
      </c>
      <c r="G18" s="41">
        <f>SUM(G8:G17)</f>
        <v>889454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14184.82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111107.72</v>
      </c>
      <c r="D23" s="95">
        <f>'DOE25'!G24</f>
        <v>0</v>
      </c>
      <c r="E23" s="95">
        <f>'DOE25'!H24</f>
        <v>3948.52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-633.69000000000005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110474.03</v>
      </c>
      <c r="D31" s="41">
        <f>SUM(D21:D30)</f>
        <v>0</v>
      </c>
      <c r="E31" s="41">
        <f>SUM(E21:E30)</f>
        <v>18133.34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52444.69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889454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0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52444.69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889454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162918.72</v>
      </c>
      <c r="D51" s="41">
        <f>D50+D31</f>
        <v>0</v>
      </c>
      <c r="E51" s="41">
        <f>E50+E31</f>
        <v>18133.34</v>
      </c>
      <c r="F51" s="41">
        <f>F50+F31</f>
        <v>0</v>
      </c>
      <c r="G51" s="41">
        <f>G50+G31</f>
        <v>889454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2465227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66524.23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67754.02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38.36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21695.16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156011.76999999999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2621238.77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1069028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1379.42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1070407.42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1070407.42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2942.16</v>
      </c>
      <c r="D88" s="95">
        <f>SUM('DOE25'!G153:G161)</f>
        <v>0</v>
      </c>
      <c r="E88" s="95">
        <f>SUM('DOE25'!H153:H161)</f>
        <v>78763.73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2942.16</v>
      </c>
      <c r="D91" s="131">
        <f>SUM(D85:D90)</f>
        <v>0</v>
      </c>
      <c r="E91" s="131">
        <f>SUM(E85:E90)</f>
        <v>78763.73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37213.49</v>
      </c>
      <c r="E96" s="95">
        <f>'DOE25'!H179</f>
        <v>0</v>
      </c>
      <c r="F96" s="95">
        <f>'DOE25'!I179</f>
        <v>0</v>
      </c>
      <c r="G96" s="95">
        <f>'DOE25'!J179</f>
        <v>70000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80400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80400</v>
      </c>
      <c r="D103" s="86">
        <f>SUM(D93:D102)</f>
        <v>37213.49</v>
      </c>
      <c r="E103" s="86">
        <f>SUM(E93:E102)</f>
        <v>0</v>
      </c>
      <c r="F103" s="86">
        <f>SUM(F93:F102)</f>
        <v>0</v>
      </c>
      <c r="G103" s="86">
        <f>SUM(G93:G102)</f>
        <v>70000</v>
      </c>
    </row>
    <row r="104" spans="1:7" ht="12.75" thickTop="1" thickBot="1" x14ac:dyDescent="0.25">
      <c r="A104" s="33" t="s">
        <v>759</v>
      </c>
      <c r="C104" s="86">
        <f>C63+C81+C91+C103</f>
        <v>3774988.35</v>
      </c>
      <c r="D104" s="86">
        <f>D63+D81+D91+D103</f>
        <v>37213.49</v>
      </c>
      <c r="E104" s="86">
        <f>E63+E81+E91+E103</f>
        <v>78763.73</v>
      </c>
      <c r="F104" s="86">
        <f>F63+F81+F91+F103</f>
        <v>0</v>
      </c>
      <c r="G104" s="86">
        <f>G63+G81+G103</f>
        <v>70000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2101751</v>
      </c>
      <c r="D109" s="24" t="s">
        <v>286</v>
      </c>
      <c r="E109" s="95">
        <f>('DOE25'!L276)+('DOE25'!L295)+('DOE25'!L314)</f>
        <v>65721.62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399149.98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9163.2900000000009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2510064.27</v>
      </c>
      <c r="D115" s="86">
        <f>SUM(D109:D114)</f>
        <v>0</v>
      </c>
      <c r="E115" s="86">
        <f>SUM(E109:E114)</f>
        <v>65721.62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185890.44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28471.629999999997</v>
      </c>
      <c r="D119" s="24" t="s">
        <v>286</v>
      </c>
      <c r="E119" s="95">
        <f>+('DOE25'!L282)+('DOE25'!L301)+('DOE25'!L320)</f>
        <v>8678.74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231914.59</v>
      </c>
      <c r="D120" s="24" t="s">
        <v>286</v>
      </c>
      <c r="E120" s="95">
        <f>+('DOE25'!L283)+('DOE25'!L302)+('DOE25'!L321)</f>
        <v>3787.9500000000003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202239.96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575.42999999999995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228770.5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304833.52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1352.86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37213.49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1183473.5000000002</v>
      </c>
      <c r="D128" s="86">
        <f>SUM(D118:D127)</f>
        <v>37213.49</v>
      </c>
      <c r="E128" s="86">
        <f>SUM(E118:E127)</f>
        <v>13042.12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80400</v>
      </c>
    </row>
    <row r="135" spans="1:7" x14ac:dyDescent="0.2">
      <c r="A135" t="s">
        <v>233</v>
      </c>
      <c r="B135" s="32" t="s">
        <v>234</v>
      </c>
      <c r="C135" s="95">
        <f>'DOE25'!L263</f>
        <v>37213.49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70000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107213.48999999999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80400</v>
      </c>
    </row>
    <row r="145" spans="1:9" ht="12.75" thickTop="1" thickBot="1" x14ac:dyDescent="0.25">
      <c r="A145" s="33" t="s">
        <v>244</v>
      </c>
      <c r="C145" s="86">
        <f>(C115+C128+C144)</f>
        <v>3800751.2600000007</v>
      </c>
      <c r="D145" s="86">
        <f>(D115+D128+D144)</f>
        <v>37213.49</v>
      </c>
      <c r="E145" s="86">
        <f>(E115+E128+E144)</f>
        <v>78763.739999999991</v>
      </c>
      <c r="F145" s="86">
        <f>(F115+F128+F144)</f>
        <v>0</v>
      </c>
      <c r="G145" s="86">
        <f>(G115+G128+G144)</f>
        <v>80400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Freedom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31426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31426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2167473</v>
      </c>
      <c r="D10" s="182">
        <f>ROUND((C10/$C$28)*100,1)</f>
        <v>56.9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399150</v>
      </c>
      <c r="D11" s="182">
        <f>ROUND((C11/$C$28)*100,1)</f>
        <v>10.5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9163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185890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37150</v>
      </c>
      <c r="D16" s="182">
        <f t="shared" si="0"/>
        <v>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237055</v>
      </c>
      <c r="D17" s="182">
        <f t="shared" si="0"/>
        <v>6.2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202240</v>
      </c>
      <c r="D18" s="182">
        <f t="shared" si="0"/>
        <v>5.3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575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228771</v>
      </c>
      <c r="D20" s="182">
        <f t="shared" si="0"/>
        <v>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304834</v>
      </c>
      <c r="D21" s="182">
        <f t="shared" si="0"/>
        <v>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37213</v>
      </c>
      <c r="D27" s="182">
        <f t="shared" si="0"/>
        <v>1</v>
      </c>
    </row>
    <row r="28" spans="1:4" x14ac:dyDescent="0.2">
      <c r="B28" s="187" t="s">
        <v>717</v>
      </c>
      <c r="C28" s="180">
        <f>SUM(C10:C27)</f>
        <v>3809514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3809514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2465227</v>
      </c>
      <c r="D35" s="182">
        <f t="shared" ref="D35:D40" si="1">ROUND((C35/$C$41)*100,1)</f>
        <v>65.3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156011.77000000002</v>
      </c>
      <c r="D36" s="182">
        <f t="shared" si="1"/>
        <v>4.0999999999999996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1069028</v>
      </c>
      <c r="D37" s="182">
        <f t="shared" si="1"/>
        <v>28.3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1379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81706</v>
      </c>
      <c r="D39" s="182">
        <f t="shared" si="1"/>
        <v>2.2000000000000002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3773351.77</v>
      </c>
      <c r="D41" s="184">
        <f>SUM(D35:D40)</f>
        <v>99.899999999999991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Freedom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2018-08-29T20:58:56Z</cp:lastPrinted>
  <dcterms:created xsi:type="dcterms:W3CDTF">1997-12-04T19:04:30Z</dcterms:created>
  <dcterms:modified xsi:type="dcterms:W3CDTF">2018-11-13T19:41:19Z</dcterms:modified>
</cp:coreProperties>
</file>