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B21" i="12" l="1"/>
  <c r="B20" i="12"/>
  <c r="B19" i="12"/>
  <c r="B12" i="12"/>
  <c r="B10" i="12"/>
  <c r="H582" i="1"/>
  <c r="H579" i="1"/>
  <c r="H575" i="1"/>
  <c r="F63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E119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2" i="10"/>
  <c r="C13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G661" i="1"/>
  <c r="H661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E112" i="2"/>
  <c r="C113" i="2"/>
  <c r="E113" i="2"/>
  <c r="C114" i="2"/>
  <c r="E114" i="2"/>
  <c r="D115" i="2"/>
  <c r="F115" i="2"/>
  <c r="G115" i="2"/>
  <c r="E118" i="2"/>
  <c r="C119" i="2"/>
  <c r="E120" i="2"/>
  <c r="E121" i="2"/>
  <c r="C122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G461" i="1" s="1"/>
  <c r="H640" i="1" s="1"/>
  <c r="H460" i="1"/>
  <c r="H461" i="1" s="1"/>
  <c r="H641" i="1" s="1"/>
  <c r="F461" i="1"/>
  <c r="F470" i="1"/>
  <c r="G470" i="1"/>
  <c r="G476" i="1" s="1"/>
  <c r="H623" i="1" s="1"/>
  <c r="J623" i="1" s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G545" i="1" s="1"/>
  <c r="H534" i="1"/>
  <c r="I534" i="1"/>
  <c r="I545" i="1" s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G641" i="1"/>
  <c r="G642" i="1"/>
  <c r="G643" i="1"/>
  <c r="H643" i="1"/>
  <c r="G644" i="1"/>
  <c r="H644" i="1"/>
  <c r="J644" i="1" s="1"/>
  <c r="H645" i="1"/>
  <c r="H647" i="1"/>
  <c r="G650" i="1"/>
  <c r="G651" i="1"/>
  <c r="G652" i="1"/>
  <c r="H652" i="1"/>
  <c r="G653" i="1"/>
  <c r="H653" i="1"/>
  <c r="G654" i="1"/>
  <c r="H654" i="1"/>
  <c r="H655" i="1"/>
  <c r="F192" i="1"/>
  <c r="G164" i="2"/>
  <c r="C26" i="10"/>
  <c r="L328" i="1"/>
  <c r="L351" i="1"/>
  <c r="A31" i="12"/>
  <c r="D62" i="2"/>
  <c r="D63" i="2" s="1"/>
  <c r="D18" i="13"/>
  <c r="C18" i="13" s="1"/>
  <c r="D17" i="13"/>
  <c r="C17" i="13" s="1"/>
  <c r="C91" i="2"/>
  <c r="F78" i="2"/>
  <c r="F81" i="2" s="1"/>
  <c r="D31" i="2"/>
  <c r="D50" i="2"/>
  <c r="G157" i="2"/>
  <c r="F18" i="2"/>
  <c r="G156" i="2"/>
  <c r="E103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J639" i="1"/>
  <c r="J571" i="1"/>
  <c r="K571" i="1"/>
  <c r="L433" i="1"/>
  <c r="L419" i="1"/>
  <c r="D81" i="2"/>
  <c r="I169" i="1"/>
  <c r="G552" i="1"/>
  <c r="J643" i="1"/>
  <c r="F476" i="1"/>
  <c r="H622" i="1" s="1"/>
  <c r="J622" i="1" s="1"/>
  <c r="I476" i="1"/>
  <c r="H625" i="1" s="1"/>
  <c r="J625" i="1" s="1"/>
  <c r="F169" i="1"/>
  <c r="J140" i="1"/>
  <c r="F571" i="1"/>
  <c r="I552" i="1"/>
  <c r="K550" i="1"/>
  <c r="G22" i="2"/>
  <c r="K545" i="1"/>
  <c r="C29" i="10"/>
  <c r="H140" i="1"/>
  <c r="L393" i="1"/>
  <c r="F22" i="13"/>
  <c r="H25" i="13"/>
  <c r="C25" i="13" s="1"/>
  <c r="H571" i="1"/>
  <c r="L560" i="1"/>
  <c r="J545" i="1"/>
  <c r="F338" i="1"/>
  <c r="F352" i="1" s="1"/>
  <c r="G192" i="1"/>
  <c r="H192" i="1"/>
  <c r="L309" i="1"/>
  <c r="E16" i="13"/>
  <c r="J655" i="1"/>
  <c r="L570" i="1"/>
  <c r="I571" i="1"/>
  <c r="J636" i="1"/>
  <c r="G36" i="2"/>
  <c r="L565" i="1"/>
  <c r="C22" i="13"/>
  <c r="C138" i="2"/>
  <c r="C16" i="13"/>
  <c r="H33" i="13"/>
  <c r="A40" i="12" l="1"/>
  <c r="A13" i="12"/>
  <c r="H476" i="1"/>
  <c r="H624" i="1" s="1"/>
  <c r="J624" i="1" s="1"/>
  <c r="K605" i="1"/>
  <c r="G648" i="1" s="1"/>
  <c r="K598" i="1"/>
  <c r="G647" i="1" s="1"/>
  <c r="J647" i="1" s="1"/>
  <c r="K551" i="1"/>
  <c r="L544" i="1"/>
  <c r="H545" i="1"/>
  <c r="L534" i="1"/>
  <c r="K549" i="1"/>
  <c r="F552" i="1"/>
  <c r="J645" i="1"/>
  <c r="G645" i="1"/>
  <c r="J641" i="1"/>
  <c r="J640" i="1"/>
  <c r="I460" i="1"/>
  <c r="I461" i="1" s="1"/>
  <c r="H642" i="1" s="1"/>
  <c r="I408" i="1"/>
  <c r="D145" i="2"/>
  <c r="I661" i="1"/>
  <c r="H338" i="1"/>
  <c r="H352" i="1" s="1"/>
  <c r="C11" i="10"/>
  <c r="C21" i="10"/>
  <c r="C17" i="10"/>
  <c r="E128" i="2"/>
  <c r="C16" i="10"/>
  <c r="E110" i="2"/>
  <c r="E115" i="2" s="1"/>
  <c r="L290" i="1"/>
  <c r="H662" i="1"/>
  <c r="I662" i="1" s="1"/>
  <c r="C124" i="2"/>
  <c r="C118" i="2"/>
  <c r="L247" i="1"/>
  <c r="H660" i="1" s="1"/>
  <c r="H664" i="1" s="1"/>
  <c r="C110" i="2"/>
  <c r="H257" i="1"/>
  <c r="H271" i="1" s="1"/>
  <c r="C10" i="10"/>
  <c r="D12" i="13"/>
  <c r="C12" i="13" s="1"/>
  <c r="E8" i="13"/>
  <c r="C8" i="13" s="1"/>
  <c r="D15" i="13"/>
  <c r="C15" i="13" s="1"/>
  <c r="G649" i="1"/>
  <c r="J649" i="1" s="1"/>
  <c r="C15" i="10"/>
  <c r="C18" i="10"/>
  <c r="C120" i="2"/>
  <c r="C128" i="2" s="1"/>
  <c r="D6" i="13"/>
  <c r="C6" i="13" s="1"/>
  <c r="D5" i="13"/>
  <c r="C5" i="13" s="1"/>
  <c r="C109" i="2"/>
  <c r="C115" i="2" s="1"/>
  <c r="L211" i="1"/>
  <c r="C70" i="2"/>
  <c r="C35" i="10"/>
  <c r="F112" i="1"/>
  <c r="C63" i="2"/>
  <c r="C81" i="2"/>
  <c r="E31" i="2"/>
  <c r="D18" i="2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667" i="1"/>
  <c r="G672" i="1"/>
  <c r="C5" i="10" s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52" i="1"/>
  <c r="J642" i="1"/>
  <c r="G571" i="1"/>
  <c r="I434" i="1"/>
  <c r="G434" i="1"/>
  <c r="E104" i="2"/>
  <c r="I663" i="1"/>
  <c r="C27" i="10"/>
  <c r="G635" i="1"/>
  <c r="J635" i="1" s="1"/>
  <c r="J648" i="1" l="1"/>
  <c r="K552" i="1"/>
  <c r="L545" i="1"/>
  <c r="G104" i="2"/>
  <c r="H646" i="1"/>
  <c r="J646" i="1" s="1"/>
  <c r="D31" i="13"/>
  <c r="C31" i="13" s="1"/>
  <c r="E145" i="2"/>
  <c r="L338" i="1"/>
  <c r="L352" i="1" s="1"/>
  <c r="G633" i="1" s="1"/>
  <c r="J633" i="1" s="1"/>
  <c r="F660" i="1"/>
  <c r="F664" i="1" s="1"/>
  <c r="F672" i="1" s="1"/>
  <c r="C4" i="10" s="1"/>
  <c r="H672" i="1"/>
  <c r="C6" i="10" s="1"/>
  <c r="H667" i="1"/>
  <c r="E33" i="13"/>
  <c r="D35" i="13" s="1"/>
  <c r="C28" i="10"/>
  <c r="D19" i="10" s="1"/>
  <c r="L257" i="1"/>
  <c r="L271" i="1" s="1"/>
  <c r="G632" i="1" s="1"/>
  <c r="J632" i="1" s="1"/>
  <c r="C145" i="2"/>
  <c r="C36" i="10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I660" i="1"/>
  <c r="I664" i="1" s="1"/>
  <c r="I672" i="1" s="1"/>
  <c r="C7" i="10" s="1"/>
  <c r="D17" i="10"/>
  <c r="D22" i="10"/>
  <c r="D27" i="10"/>
  <c r="D24" i="10"/>
  <c r="D11" i="10"/>
  <c r="D13" i="10"/>
  <c r="D21" i="10"/>
  <c r="D18" i="10"/>
  <c r="D12" i="10"/>
  <c r="D10" i="10"/>
  <c r="D26" i="10"/>
  <c r="C30" i="10"/>
  <c r="D16" i="10"/>
  <c r="D23" i="10"/>
  <c r="D20" i="10"/>
  <c r="D15" i="10"/>
  <c r="D25" i="10"/>
  <c r="F667" i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<sst xmlns="http://schemas.openxmlformats.org/spreadsheetml/2006/main" count="3963" uniqueCount="918">
  <si>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</si>
  <si>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</si>
  <si>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</si>
  <si>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</si>
  <si>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</si>
  <si>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</si>
  <si>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</si>
  <si>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</si>
  <si>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</si>
  <si>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</si>
  <si>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</si>
  <si>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</si>
  <si>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</si>
  <si>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</si>
  <si>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</si>
  <si>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</si>
  <si>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</si>
  <si>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</si>
  <si>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</si>
  <si>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</si>
  <si>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</si>
  <si>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</si>
  <si>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</si>
  <si>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</si>
  <si>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</si>
  <si>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</si>
  <si>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</si>
  <si>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</si>
  <si>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</si>
  <si>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</si>
  <si>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</si>
  <si>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</si>
  <si>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</si>
  <si>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</si>
  <si>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</si>
  <si>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</si>
  <si>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</si>
  <si>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</si>
  <si>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</si>
  <si>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</si>
  <si>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</si>
  <si>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</si>
  <si>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</si>
  <si>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</si>
  <si>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</si>
  <si>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</si>
  <si>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</si>
  <si>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</si>
  <si>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</si>
  <si>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</si>
  <si>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</si>
  <si>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</si>
  <si>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</si>
  <si>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</si>
  <si>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</si>
  <si>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</si>
  <si>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</si>
  <si>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</si>
  <si>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</si>
  <si>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</si>
  <si>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</si>
  <si>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</si>
  <si>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</si>
  <si>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</si>
  <si>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</si>
  <si>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</si>
  <si>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</si>
  <si>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</si>
  <si>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</si>
  <si>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</si>
  <si>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</si>
  <si>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</si>
  <si>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</si>
  <si>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</si>
  <si>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</si>
  <si>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</si>
  <si>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</si>
  <si>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</si>
  <si>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</si>
  <si>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</si>
  <si>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</si>
  <si>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</si>
  <si>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</si>
  <si>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</si>
  <si>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</si>
  <si>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</si>
  <si>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</si>
  <si>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</si>
  <si>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</si>
  <si>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</si>
  <si>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</si>
  <si>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</si>
  <si>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</si>
  <si>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</si>
  <si>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</si>
  <si>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</si>
  <si>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</si>
  <si>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</si>
  <si>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</si>
  <si>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</si>
  <si>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</si>
  <si>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</si>
  <si>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</si>
  <si>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</si>
  <si>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</si>
  <si>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</si>
  <si>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</si>
  <si>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</si>
  <si>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</si>
  <si>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</si>
  <si>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</si>
  <si>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</si>
  <si>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</si>
  <si>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</si>
  <si>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</si>
  <si>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</si>
  <si>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</si>
  <si>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</si>
  <si>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</si>
  <si>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</si>
  <si>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</si>
  <si>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</si>
  <si>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</si>
  <si>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</si>
  <si>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</si>
  <si>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</si>
  <si>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</si>
  <si>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</si>
  <si>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</si>
  <si>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</si>
  <si>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</si>
  <si>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</si>
  <si>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</si>
  <si>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</si>
  <si>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</si>
  <si>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</si>
  <si>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</si>
  <si>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</si>
  <si>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</si>
  <si>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</si>
  <si>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</si>
  <si>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</si>
  <si>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</si>
  <si>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</si>
  <si>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</si>
  <si>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</si>
  <si>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</si>
  <si>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</si>
  <si>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</si>
  <si>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</si>
  <si>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</si>
  <si>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</si>
  <si>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</si>
  <si>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</si>
  <si>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</si>
  <si>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</si>
  <si>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</si>
  <si>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</si>
  <si>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</si>
  <si>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</si>
  <si>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</si>
  <si>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</si>
  <si>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</si>
  <si>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</si>
  <si>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</si>
  <si>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</si>
  <si>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</si>
  <si>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</si>
  <si>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</si>
  <si>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</si>
  <si>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</si>
  <si>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</si>
  <si>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</si>
  <si>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</si>
  <si>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</si>
  <si>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</si>
  <si>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</si>
  <si>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</si>
  <si>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</si>
  <si>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</si>
  <si>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</si>
  <si>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</si>
  <si>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</si>
  <si>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</si>
  <si>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</si>
  <si>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</si>
  <si>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</si>
  <si>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</si>
  <si>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</si>
  <si>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</si>
  <si>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</si>
  <si>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</si>
  <si>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</si>
  <si>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</si>
  <si>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</si>
  <si>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</si>
  <si>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</si>
  <si>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</si>
  <si>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</si>
  <si>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</si>
  <si>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</si>
  <si>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</si>
  <si>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</si>
  <si>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</si>
  <si>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</si>
  <si>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</si>
  <si>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</si>
  <si>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</si>
  <si>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</si>
  <si>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</si>
  <si>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</si>
  <si>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</si>
  <si>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</si>
  <si>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</si>
  <si>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</si>
  <si>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</si>
  <si>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</si>
  <si>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</si>
  <si>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</si>
  <si>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</si>
  <si>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</si>
  <si>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</si>
  <si>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</si>
  <si>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</si>
  <si>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</si>
  <si>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</si>
  <si>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</si>
  <si>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</si>
  <si>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</si>
  <si>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</si>
  <si>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</si>
  <si>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</si>
  <si>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</si>
  <si>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</si>
  <si>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</si>
  <si>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</si>
  <si>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</si>
  <si>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</si>
  <si>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</si>
  <si>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</si>
  <si>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</si>
  <si>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</si>
  <si>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</si>
  <si>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</si>
  <si>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</si>
  <si>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</si>
  <si>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</si>
  <si>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</si>
  <si>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</si>
  <si>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</si>
  <si>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</si>
  <si>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</si>
  <si>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</si>
  <si>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</si>
  <si>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</si>
  <si>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</si>
  <si>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</si>
  <si>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</si>
  <si>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</si>
  <si>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</si>
  <si>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</si>
  <si>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</si>
  <si>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</si>
  <si>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</si>
  <si>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</si>
  <si>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</si>
  <si>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</si>
  <si>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</si>
  <si>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</si>
  <si>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</si>
  <si>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</si>
  <si>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</si>
  <si>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</si>
  <si>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</si>
  <si>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</si>
  <si>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</si>
  <si>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</si>
  <si>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</si>
  <si>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</si>
  <si>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</si>
  <si>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</si>
  <si>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</si>
  <si>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</si>
  <si>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</si>
  <si>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</si>
  <si>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</si>
  <si>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</si>
  <si>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</si>
  <si>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</si>
  <si>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</si>
  <si>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</si>
  <si>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</si>
  <si>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</si>
  <si>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</si>
  <si>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</si>
  <si>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</si>
  <si>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</si>
  <si>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</si>
  <si>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</si>
  <si>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</si>
  <si>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</si>
  <si>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</si>
  <si>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</si>
  <si>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</si>
  <si>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</si>
  <si>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</si>
  <si>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</si>
  <si>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</si>
  <si>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</si>
  <si>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</si>
  <si>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</si>
  <si>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</si>
  <si>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</si>
  <si>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</si>
  <si>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</si>
  <si>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</si>
  <si>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</si>
  <si>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</si>
  <si>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</si>
  <si>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</si>
  <si>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</si>
  <si>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</si>
  <si>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</si>
  <si>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</si>
  <si>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</si>
  <si>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</si>
  <si>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</si>
  <si>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</si>
  <si>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</si>
  <si>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</si>
  <si>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</si>
  <si>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</si>
  <si>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</si>
  <si>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</si>
  <si>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</si>
  <si>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</si>
  <si>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</si>
  <si>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</si>
  <si>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</si>
  <si>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</si>
  <si>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</si>
  <si>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</si>
  <si>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</si>
  <si>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</si>
  <si>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</si>
  <si>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</si>
  <si>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</si>
  <si>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</si>
  <si>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</si>
  <si>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</si>
  <si>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</si>
  <si>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</si>
  <si>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</si>
  <si>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</si>
  <si>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</si>
  <si>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</si>
  <si>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</si>
  <si>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</si>
  <si>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</si>
  <si>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</si>
  <si>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</si>
  <si>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</si>
  <si>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</si>
  <si>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</si>
  <si>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</si>
  <si>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</si>
  <si>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</si>
  <si>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</si>
  <si>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</si>
  <si>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</si>
  <si>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</si>
  <si>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</si>
  <si>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</si>
  <si>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</si>
  <si>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</si>
  <si>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</si>
  <si>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</si>
  <si>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</si>
  <si>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</si>
  <si>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</si>
  <si>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</si>
  <si>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</si>
  <si>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</si>
  <si>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</si>
  <si>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</si>
  <si>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</si>
  <si>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</si>
  <si>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</si>
  <si>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</si>
  <si>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</si>
  <si>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</si>
  <si>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</si>
  <si>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</si>
  <si>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</si>
  <si>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</si>
  <si>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</si>
  <si>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</si>
  <si>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</si>
  <si>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</si>
  <si>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</si>
  <si>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</si>
  <si>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</si>
  <si>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</si>
  <si>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</si>
  <si>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</si>
  <si>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</si>
  <si>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</si>
  <si>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</si>
  <si>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</si>
  <si>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</si>
  <si>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</si>
  <si>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</si>
  <si>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</si>
  <si>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</si>
  <si>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</si>
  <si>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</si>
  <si>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</si>
  <si>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</si>
  <si>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</si>
  <si>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</si>
  <si>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</si>
  <si>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</si>
  <si>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</si>
  <si>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</si>
  <si>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</si>
  <si>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</si>
  <si>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</si>
  <si>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</si>
  <si>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</si>
  <si>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</si>
  <si>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</si>
  <si>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</si>
  <si>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</si>
  <si>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</si>
  <si>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</si>
  <si>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</si>
  <si>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</si>
  <si>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</si>
  <si>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</si>
  <si>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</si>
  <si>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</si>
  <si>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</si>
  <si>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</si>
  <si>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</si>
  <si>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</si>
  <si>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</si>
  <si>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</si>
  <si>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</si>
  <si>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</si>
  <si>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</si>
  <si>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</si>
  <si>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</si>
  <si>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</si>
  <si>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</si>
  <si>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</si>
  <si>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</si>
  <si>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</si>
  <si>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</si>
  <si>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</si>
  <si>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</si>
  <si>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</si>
  <si>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</si>
  <si>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</si>
  <si>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</si>
  <si>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</si>
  <si>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</si>
  <si>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</si>
  <si>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</si>
  <si>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</si>
  <si>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</si>
  <si>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</si>
  <si>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</si>
  <si>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</si>
  <si>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</si>
  <si>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</si>
  <si>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</si>
  <si>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</si>
  <si>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</si>
  <si>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</si>
  <si>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</si>
  <si>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</si>
  <si>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</si>
  <si>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</si>
  <si>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</si>
  <si>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</si>
  <si>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</si>
  <si>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</si>
  <si>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</si>
  <si>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</si>
  <si>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</si>
  <si>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</si>
  <si>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</si>
  <si>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</si>
  <si>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</si>
  <si>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</si>
  <si>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</si>
  <si>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</si>
  <si>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</si>
  <si>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</si>
  <si>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</si>
  <si>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</si>
  <si>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</si>
  <si>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</si>
  <si>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</si>
  <si>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</si>
  <si>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</si>
  <si>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</si>
  <si>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</si>
  <si>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</si>
  <si>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</si>
  <si>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</si>
  <si>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</si>
  <si>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</si>
  <si>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</si>
  <si>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</si>
  <si>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</si>
  <si>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</si>
  <si>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</si>
  <si>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</si>
  <si>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</si>
  <si>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</si>
  <si>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</si>
  <si>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</si>
  <si>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</si>
  <si>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</si>
  <si>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</si>
  <si>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</si>
  <si>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</si>
  <si>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</si>
  <si>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</si>
  <si>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</si>
  <si>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</si>
  <si>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</si>
  <si>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</si>
  <si>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</si>
  <si>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</si>
  <si>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</si>
  <si>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</si>
  <si>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</si>
  <si>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</si>
  <si>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</si>
  <si>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</si>
  <si>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</si>
  <si>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</si>
  <si>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</si>
  <si>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</si>
  <si>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</si>
  <si>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</si>
  <si>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</si>
  <si>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</si>
  <si>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</si>
  <si>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</si>
  <si>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</si>
  <si>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</si>
  <si>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</si>
  <si>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</si>
  <si>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</si>
  <si>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</si>
  <si>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</si>
  <si>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</si>
  <si>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</si>
  <si>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</si>
  <si>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</si>
  <si>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</si>
  <si>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</si>
  <si>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</si>
  <si>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</si>
  <si>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</si>
  <si>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</si>
  <si>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</si>
  <si>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</si>
  <si>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</si>
  <si>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</si>
  <si>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</si>
  <si>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</si>
  <si>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</si>
  <si>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</si>
  <si>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</si>
  <si>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</si>
  <si>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</si>
  <si>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</si>
  <si>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</si>
  <si>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</si>
  <si>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</si>
  <si>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</si>
  <si>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</si>
  <si>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</si>
  <si>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</si>
  <si>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</si>
  <si>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</si>
  <si>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</si>
  <si>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</si>
  <si>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</si>
  <si>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</si>
  <si>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</si>
  <si>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</si>
  <si>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</si>
  <si>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</si>
  <si>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</si>
  <si>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</si>
  <si>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</si>
  <si>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</si>
  <si>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</si>
  <si>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</si>
  <si>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</si>
  <si>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</si>
  <si>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</si>
  <si>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</si>
  <si>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</si>
  <si>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</si>
  <si>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</si>
  <si>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</si>
  <si>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</si>
  <si>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</si>
  <si>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</si>
  <si>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</si>
  <si>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</si>
  <si>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</si>
  <si>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</si>
  <si>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</si>
  <si>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</si>
  <si>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</si>
  <si>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</si>
  <si>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</si>
  <si>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</si>
  <si>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</si>
  <si>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</si>
  <si>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</si>
  <si>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</si>
  <si>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</si>
  <si>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</si>
  <si>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</si>
  <si>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</si>
  <si>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</si>
  <si>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</si>
  <si>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</si>
  <si>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</si>
  <si>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</si>
  <si>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</si>
  <si>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</si>
  <si>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</si>
  <si>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</si>
  <si>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</si>
  <si>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</si>
  <si>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</si>
  <si>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</si>
  <si>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</si>
  <si>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</si>
  <si>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</si>
  <si>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</si>
  <si>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</si>
  <si>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</si>
  <si>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</si>
  <si>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</si>
  <si>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</si>
  <si>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</si>
  <si>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</si>
  <si>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</si>
  <si>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</si>
  <si>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</si>
  <si>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</si>
  <si>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</si>
  <si>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</si>
  <si>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</si>
  <si>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</si>
  <si>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</si>
  <si>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</si>
  <si>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</si>
  <si>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</si>
  <si>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</si>
  <si>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</si>
  <si>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</si>
  <si>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</si>
  <si>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</si>
  <si>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</si>
  <si>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</si>
  <si>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</si>
  <si>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</si>
  <si>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</si>
  <si>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</si>
  <si>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</si>
  <si>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</si>
  <si>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</si>
  <si>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</si>
  <si>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</si>
  <si>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</si>
  <si>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</si>
  <si>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</si>
  <si>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</si>
  <si>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</si>
  <si>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</si>
  <si>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</si>
  <si>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</si>
  <si>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</si>
  <si>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</si>
  <si>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</si>
  <si>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</si>
  <si>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</si>
  <si>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</si>
  <si>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</si>
  <si>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</si>
  <si>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</si>
  <si>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</si>
  <si>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</si>
  <si>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</si>
  <si>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</si>
  <si>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</si>
  <si>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</si>
  <si>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</si>
  <si>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</si>
  <si>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</si>
  <si>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</si>
  <si>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</si>
  <si>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</si>
  <si>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</si>
  <si>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</si>
  <si>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</si>
  <si>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</si>
  <si>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</si>
  <si>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</si>
  <si>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</si>
  <si>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</si>
  <si>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</si>
  <si>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</si>
  <si>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</si>
  <si>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</si>
  <si>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</si>
  <si>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</si>
  <si>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</si>
  <si>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</si>
  <si>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</si>
  <si>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</si>
  <si>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</si>
  <si>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</si>
  <si>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</si>
  <si>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</si>
  <si>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</si>
  <si>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</si>
  <si>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</si>
  <si>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</si>
  <si>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</si>
  <si>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</si>
  <si>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</si>
  <si>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</si>
  <si>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</si>
  <si>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</si>
  <si>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</si>
  <si>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</si>
  <si>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</si>
  <si>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</si>
  <si>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</si>
  <si>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</si>
  <si>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</si>
  <si>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</si>
  <si>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</si>
  <si>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</si>
  <si>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</si>
  <si>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</si>
  <si>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</si>
  <si>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</si>
  <si>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</si>
  <si>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</si>
  <si>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</si>
  <si>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</si>
  <si>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</si>
  <si>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</si>
  <si>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</si>
  <si>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</si>
  <si>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</si>
  <si>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</si>
  <si>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</si>
  <si>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</si>
  <si>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</si>
  <si>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</si>
  <si>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</si>
  <si>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</si>
  <si>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</si>
  <si>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</si>
  <si>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</si>
  <si>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</si>
  <si>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</si>
  <si>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</si>
  <si>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</si>
  <si>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</si>
  <si>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</si>
  <si>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</si>
  <si>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</si>
  <si>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</si>
  <si>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</si>
  <si>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</si>
  <si>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</si>
  <si>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</si>
  <si>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</si>
  <si>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</si>
  <si>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</si>
  <si>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</si>
  <si>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</si>
  <si>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</si>
  <si>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</si>
  <si>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</si>
  <si>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</si>
  <si>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</si>
  <si>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</si>
  <si>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</si>
  <si>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</si>
  <si>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</si>
  <si>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</si>
  <si>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</si>
  <si>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</si>
  <si>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</si>
  <si>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</si>
  <si>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</si>
  <si>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</si>
  <si>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</si>
  <si>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</si>
  <si>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</si>
  <si>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</si>
  <si>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</si>
  <si>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</si>
  <si>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</si>
  <si>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</si>
  <si>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</si>
  <si>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</si>
  <si>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</si>
  <si>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</si>
  <si>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</si>
  <si>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</si>
  <si>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</si>
  <si>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</si>
  <si>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</si>
  <si>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</si>
  <si>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</si>
  <si>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</si>
  <si>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</si>
  <si>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</si>
  <si>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</si>
  <si>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</si>
  <si>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</si>
  <si>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</si>
  <si>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</si>
  <si>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</si>
  <si>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</si>
  <si>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</si>
  <si>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</si>
  <si>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</si>
  <si>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</si>
  <si>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</si>
  <si>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</si>
  <si>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</si>
  <si>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</si>
  <si>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</si>
  <si>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</si>
  <si>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</si>
  <si>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</si>
  <si>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</si>
  <si>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</si>
  <si>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</si>
  <si>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</si>
  <si>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</si>
  <si>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</si>
  <si>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</si>
  <si>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</si>
  <si>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</si>
  <si>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</si>
  <si>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</si>
  <si>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</si>
  <si>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</si>
  <si>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</si>
  <si>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</si>
  <si>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</si>
  <si>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</si>
  <si>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</si>
  <si>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</si>
  <si>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</si>
  <si>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</si>
  <si>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</si>
  <si>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</si>
  <si>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</si>
  <si>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</si>
  <si>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</si>
  <si>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</si>
  <si>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</si>
  <si>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</si>
  <si>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</si>
  <si>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</si>
  <si>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</si>
  <si>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</si>
  <si>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</si>
  <si>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</si>
  <si>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</si>
  <si>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</si>
  <si>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</si>
  <si>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</si>
  <si>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</si>
  <si>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</si>
  <si>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</si>
  <si>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</si>
  <si>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</si>
  <si>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</si>
  <si>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</si>
  <si>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</si>
  <si>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</si>
  <si>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</si>
  <si>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</si>
  <si>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</si>
  <si>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</si>
  <si>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</si>
  <si>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</si>
  <si>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</si>
  <si>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</si>
  <si>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</si>
  <si>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</si>
  <si>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Frost Fund</t>
  </si>
  <si>
    <t>Pay Sanborn -Reserve for Encumbrances FY17</t>
  </si>
  <si>
    <t>FS- Inventory</t>
  </si>
  <si>
    <t>04/13</t>
  </si>
  <si>
    <t>08/17</t>
  </si>
  <si>
    <t>Fremont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</si>
</sst>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3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917</v>
      </c>
      <c r="B2" s="21">
        <v>189</v>
      </c>
      <c r="C2" s="21">
        <v>189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883514.87</v>
      </c>
      <c r="G9" s="18">
        <v>64171.23</v>
      </c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602170.37</v>
      </c>
      <c r="G10" s="18"/>
      <c r="H10" s="18"/>
      <c r="I10" s="18"/>
      <c r="J10" s="67">
        <f>SUM(I440)</f>
        <v>272239.82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135849.18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69288.22</v>
      </c>
      <c r="G13" s="18">
        <v>3020.75</v>
      </c>
      <c r="H13" s="18">
        <v>86298.48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190.47</v>
      </c>
      <c r="G14" s="18">
        <v>3802.45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4696.8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1691013.1099999999</v>
      </c>
      <c r="G19" s="41">
        <f>SUM(G9:G18)</f>
        <v>75691.23000000001</v>
      </c>
      <c r="H19" s="41">
        <f>SUM(H9:H18)</f>
        <v>86298.48</v>
      </c>
      <c r="I19" s="41">
        <f>SUM(I9:I18)</f>
        <v>0</v>
      </c>
      <c r="J19" s="41">
        <f>SUM(J9:J18)</f>
        <v>272239.82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56936.33</v>
      </c>
      <c r="H22" s="18">
        <v>78912.850000000006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>
        <v>0</v>
      </c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700786.84</v>
      </c>
      <c r="G24" s="18">
        <v>12102.38</v>
      </c>
      <c r="H24" s="18">
        <v>7385.63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136744.75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2249.63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2000</v>
      </c>
      <c r="G30" s="18">
        <v>4355.8999999999996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0</v>
      </c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841781.22</v>
      </c>
      <c r="G32" s="41">
        <f>SUM(G22:G31)</f>
        <v>73394.61</v>
      </c>
      <c r="H32" s="41">
        <f>SUM(H22:H31)</f>
        <v>86298.48000000001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>
        <v>4696.8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275000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-2400.1799999999998</v>
      </c>
      <c r="H48" s="18"/>
      <c r="I48" s="18"/>
      <c r="J48" s="13">
        <f>SUM(I459)</f>
        <v>272239.82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574231.89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849231.89</v>
      </c>
      <c r="G51" s="41">
        <f>SUM(G35:G50)</f>
        <v>2296.6200000000003</v>
      </c>
      <c r="H51" s="41">
        <f>SUM(H35:H50)</f>
        <v>0</v>
      </c>
      <c r="I51" s="41">
        <f>SUM(I35:I50)</f>
        <v>0</v>
      </c>
      <c r="J51" s="41">
        <f>SUM(J35:J50)</f>
        <v>272239.82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1691013.1099999999</v>
      </c>
      <c r="G52" s="41">
        <f>G51+G32</f>
        <v>75691.23</v>
      </c>
      <c r="H52" s="41">
        <f>H51+H32</f>
        <v>86298.48000000001</v>
      </c>
      <c r="I52" s="41">
        <f>I51+I32</f>
        <v>0</v>
      </c>
      <c r="J52" s="41">
        <f>J51+J32</f>
        <v>272239.82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8663007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8663007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f>11544+11433.5</f>
        <v>22977.5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22977.5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7496.67</v>
      </c>
      <c r="G96" s="18"/>
      <c r="H96" s="18"/>
      <c r="I96" s="18"/>
      <c r="J96" s="18">
        <v>1731.47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102432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>
        <v>58.47</v>
      </c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29810.82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750.07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38057.56</v>
      </c>
      <c r="G111" s="41">
        <f>SUM(G96:G110)</f>
        <v>102432</v>
      </c>
      <c r="H111" s="41">
        <f>SUM(H96:H110)</f>
        <v>58.47</v>
      </c>
      <c r="I111" s="41">
        <f>SUM(I96:I110)</f>
        <v>0</v>
      </c>
      <c r="J111" s="41">
        <f>SUM(J96:J110)</f>
        <v>1731.47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8724042.0600000005</v>
      </c>
      <c r="G112" s="41">
        <f>G60+G111</f>
        <v>102432</v>
      </c>
      <c r="H112" s="41">
        <f>H60+H79+H94+H111</f>
        <v>58.47</v>
      </c>
      <c r="I112" s="41">
        <f>I60+I111</f>
        <v>0</v>
      </c>
      <c r="J112" s="41">
        <f>J60+J111</f>
        <v>1731.47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1632742.68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921386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10277.1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2564405.7799999998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250643.31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2142.54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>
        <v>9306.33</v>
      </c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250643.31</v>
      </c>
      <c r="G136" s="41">
        <f>SUM(G123:G135)</f>
        <v>11448.869999999999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2815049.09</v>
      </c>
      <c r="G140" s="41">
        <f>G121+SUM(G136:G137)</f>
        <v>11448.869999999999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v>33059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110237.83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8043.31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34378.65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110725.53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88007.65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88007.65</v>
      </c>
      <c r="G162" s="41">
        <f>SUM(G150:G161)</f>
        <v>34378.65</v>
      </c>
      <c r="H162" s="41">
        <f>SUM(H150:H161)</f>
        <v>262065.67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88007.65</v>
      </c>
      <c r="G169" s="41">
        <f>G147+G162+SUM(G163:G168)</f>
        <v>34378.65</v>
      </c>
      <c r="H169" s="41">
        <f>H147+H162+SUM(H163:H168)</f>
        <v>262065.67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20000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11627098.800000001</v>
      </c>
      <c r="G193" s="47">
        <f>G112+G140+G169+G192</f>
        <v>148259.51999999999</v>
      </c>
      <c r="H193" s="47">
        <f>H112+H140+H169+H192</f>
        <v>262124.14</v>
      </c>
      <c r="I193" s="47">
        <f>I112+I140+I169+I192</f>
        <v>0</v>
      </c>
      <c r="J193" s="47">
        <f>J112+J140+J192</f>
        <v>21731.47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1775712.7</v>
      </c>
      <c r="G197" s="18">
        <v>958963.49</v>
      </c>
      <c r="H197" s="18">
        <v>763.34</v>
      </c>
      <c r="I197" s="18">
        <v>75768.17</v>
      </c>
      <c r="J197" s="18">
        <v>73441.600000000006</v>
      </c>
      <c r="K197" s="18"/>
      <c r="L197" s="19">
        <f>SUM(F197:K197)</f>
        <v>2884649.3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549908.63</v>
      </c>
      <c r="G198" s="18">
        <v>241183.65</v>
      </c>
      <c r="H198" s="18">
        <v>285512.89</v>
      </c>
      <c r="I198" s="18">
        <v>6726.35</v>
      </c>
      <c r="J198" s="18">
        <v>1306.75</v>
      </c>
      <c r="K198" s="18"/>
      <c r="L198" s="19">
        <f>SUM(F198:K198)</f>
        <v>1084638.27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36100</v>
      </c>
      <c r="G200" s="18">
        <v>8435.51</v>
      </c>
      <c r="H200" s="18">
        <v>4025</v>
      </c>
      <c r="I200" s="18">
        <v>7692.7</v>
      </c>
      <c r="J200" s="18">
        <v>1994.87</v>
      </c>
      <c r="K200" s="18">
        <v>1244</v>
      </c>
      <c r="L200" s="19">
        <f>SUM(F200:K200)</f>
        <v>59492.08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316365.83</v>
      </c>
      <c r="G202" s="18">
        <v>135437.57999999999</v>
      </c>
      <c r="H202" s="18">
        <v>122103.73</v>
      </c>
      <c r="I202" s="18">
        <v>8707.1</v>
      </c>
      <c r="J202" s="18">
        <v>1915.88</v>
      </c>
      <c r="K202" s="18">
        <v>145</v>
      </c>
      <c r="L202" s="19">
        <f t="shared" ref="L202:L208" si="0">SUM(F202:K202)</f>
        <v>584675.12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86883.36</v>
      </c>
      <c r="G203" s="18">
        <v>43103.26</v>
      </c>
      <c r="H203" s="18">
        <v>7444.62</v>
      </c>
      <c r="I203" s="18">
        <v>19146.07</v>
      </c>
      <c r="J203" s="18">
        <v>29221.34</v>
      </c>
      <c r="K203" s="18">
        <v>340</v>
      </c>
      <c r="L203" s="19">
        <f t="shared" si="0"/>
        <v>186138.65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433452.42</v>
      </c>
      <c r="G204" s="18">
        <v>144305.9</v>
      </c>
      <c r="H204" s="18">
        <v>43169.599999999999</v>
      </c>
      <c r="I204" s="18">
        <v>6637.41</v>
      </c>
      <c r="J204" s="18"/>
      <c r="K204" s="18">
        <v>18213.060000000001</v>
      </c>
      <c r="L204" s="19">
        <f t="shared" si="0"/>
        <v>645778.39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241912.18</v>
      </c>
      <c r="G205" s="18">
        <v>125713.78</v>
      </c>
      <c r="H205" s="18">
        <v>48829.97</v>
      </c>
      <c r="I205" s="18">
        <v>15699.98</v>
      </c>
      <c r="J205" s="18"/>
      <c r="K205" s="18">
        <v>3735.39</v>
      </c>
      <c r="L205" s="19">
        <f t="shared" si="0"/>
        <v>435891.29999999993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155897.51</v>
      </c>
      <c r="G207" s="18">
        <v>70171.38</v>
      </c>
      <c r="H207" s="18">
        <v>73672.08</v>
      </c>
      <c r="I207" s="18">
        <v>139705.85999999999</v>
      </c>
      <c r="J207" s="18">
        <v>58696.21</v>
      </c>
      <c r="K207" s="18"/>
      <c r="L207" s="19">
        <f t="shared" si="0"/>
        <v>498143.04000000004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462359.65</v>
      </c>
      <c r="I208" s="18"/>
      <c r="J208" s="18"/>
      <c r="K208" s="18"/>
      <c r="L208" s="19">
        <f t="shared" si="0"/>
        <v>462359.65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3596232.63</v>
      </c>
      <c r="G211" s="41">
        <f t="shared" si="1"/>
        <v>1727314.5499999998</v>
      </c>
      <c r="H211" s="41">
        <f t="shared" si="1"/>
        <v>1047880.88</v>
      </c>
      <c r="I211" s="41">
        <f t="shared" si="1"/>
        <v>280083.64</v>
      </c>
      <c r="J211" s="41">
        <f t="shared" si="1"/>
        <v>166576.65</v>
      </c>
      <c r="K211" s="41">
        <f t="shared" si="1"/>
        <v>23677.45</v>
      </c>
      <c r="L211" s="41">
        <f t="shared" si="1"/>
        <v>6841765.7999999998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3550397.66</v>
      </c>
      <c r="I233" s="18"/>
      <c r="J233" s="18"/>
      <c r="K233" s="18"/>
      <c r="L233" s="19">
        <f>SUM(F233:K233)</f>
        <v>3550397.66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792297.74</v>
      </c>
      <c r="I234" s="18"/>
      <c r="J234" s="18"/>
      <c r="K234" s="18"/>
      <c r="L234" s="19">
        <f>SUM(F234:K234)</f>
        <v>792297.74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>
        <v>7090.53</v>
      </c>
      <c r="I238" s="18"/>
      <c r="J238" s="18"/>
      <c r="K238" s="18"/>
      <c r="L238" s="19">
        <f t="shared" ref="L238:L244" si="4">SUM(F238:K238)</f>
        <v>7090.53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177774.77</v>
      </c>
      <c r="I244" s="18"/>
      <c r="J244" s="18"/>
      <c r="K244" s="18"/>
      <c r="L244" s="19">
        <f t="shared" si="4"/>
        <v>177774.77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4527560.7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4527560.7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134750</v>
      </c>
      <c r="I255" s="18"/>
      <c r="J255" s="18"/>
      <c r="K255" s="18"/>
      <c r="L255" s="19">
        <f t="shared" si="6"/>
        <v>134750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134750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134750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3596232.63</v>
      </c>
      <c r="G257" s="41">
        <f t="shared" si="8"/>
        <v>1727314.5499999998</v>
      </c>
      <c r="H257" s="41">
        <f t="shared" si="8"/>
        <v>5710191.5800000001</v>
      </c>
      <c r="I257" s="41">
        <f t="shared" si="8"/>
        <v>280083.64</v>
      </c>
      <c r="J257" s="41">
        <f t="shared" si="8"/>
        <v>166576.65</v>
      </c>
      <c r="K257" s="41">
        <f t="shared" si="8"/>
        <v>23677.45</v>
      </c>
      <c r="L257" s="41">
        <f t="shared" si="8"/>
        <v>11504076.5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20000</v>
      </c>
      <c r="L266" s="19">
        <f t="shared" si="9"/>
        <v>20000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20000</v>
      </c>
      <c r="L270" s="41">
        <f t="shared" si="9"/>
        <v>20000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3596232.63</v>
      </c>
      <c r="G271" s="42">
        <f t="shared" si="11"/>
        <v>1727314.5499999998</v>
      </c>
      <c r="H271" s="42">
        <f t="shared" si="11"/>
        <v>5710191.5800000001</v>
      </c>
      <c r="I271" s="42">
        <f t="shared" si="11"/>
        <v>280083.64</v>
      </c>
      <c r="J271" s="42">
        <f t="shared" si="11"/>
        <v>166576.65</v>
      </c>
      <c r="K271" s="42">
        <f t="shared" si="11"/>
        <v>43677.45</v>
      </c>
      <c r="L271" s="42">
        <f t="shared" si="11"/>
        <v>11524076.5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24661.62</v>
      </c>
      <c r="G276" s="18">
        <v>2262.48</v>
      </c>
      <c r="H276" s="18">
        <v>962.73</v>
      </c>
      <c r="I276" s="18">
        <v>133.69999999999999</v>
      </c>
      <c r="J276" s="18"/>
      <c r="K276" s="18"/>
      <c r="L276" s="19">
        <f>SUM(F276:K276)</f>
        <v>28020.53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10618.02</v>
      </c>
      <c r="G277" s="18">
        <v>8146.06</v>
      </c>
      <c r="H277" s="18">
        <v>65461.85</v>
      </c>
      <c r="I277" s="18">
        <v>560.74</v>
      </c>
      <c r="J277" s="18">
        <v>771.07</v>
      </c>
      <c r="K277" s="18"/>
      <c r="L277" s="19">
        <f>SUM(F277:K277)</f>
        <v>85557.74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12220</v>
      </c>
      <c r="G279" s="18">
        <v>2254.19</v>
      </c>
      <c r="H279" s="18">
        <v>197</v>
      </c>
      <c r="I279" s="18">
        <v>581.33000000000004</v>
      </c>
      <c r="J279" s="18"/>
      <c r="K279" s="18"/>
      <c r="L279" s="19">
        <f>SUM(F279:K279)</f>
        <v>15252.52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1500</v>
      </c>
      <c r="G281" s="18">
        <v>375.15</v>
      </c>
      <c r="H281" s="18">
        <v>1155</v>
      </c>
      <c r="I281" s="18"/>
      <c r="J281" s="18"/>
      <c r="K281" s="18"/>
      <c r="L281" s="19">
        <f t="shared" ref="L281:L287" si="12">SUM(F281:K281)</f>
        <v>3030.15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1600</v>
      </c>
      <c r="G282" s="18">
        <v>394.16</v>
      </c>
      <c r="H282" s="18">
        <v>92293.74</v>
      </c>
      <c r="I282" s="18">
        <v>4696.99</v>
      </c>
      <c r="J282" s="18"/>
      <c r="K282" s="18">
        <v>25</v>
      </c>
      <c r="L282" s="19">
        <f t="shared" si="12"/>
        <v>99009.890000000014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>
        <v>6834</v>
      </c>
      <c r="I283" s="18"/>
      <c r="J283" s="18"/>
      <c r="K283" s="18"/>
      <c r="L283" s="19">
        <f t="shared" si="12"/>
        <v>6834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486.52</v>
      </c>
      <c r="I287" s="18"/>
      <c r="J287" s="18"/>
      <c r="K287" s="18"/>
      <c r="L287" s="19">
        <f t="shared" si="12"/>
        <v>486.52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50599.64</v>
      </c>
      <c r="G290" s="42">
        <f t="shared" si="13"/>
        <v>13432.04</v>
      </c>
      <c r="H290" s="42">
        <f t="shared" si="13"/>
        <v>167390.84</v>
      </c>
      <c r="I290" s="42">
        <f t="shared" si="13"/>
        <v>5972.76</v>
      </c>
      <c r="J290" s="42">
        <f t="shared" si="13"/>
        <v>771.07</v>
      </c>
      <c r="K290" s="42">
        <f t="shared" si="13"/>
        <v>25</v>
      </c>
      <c r="L290" s="41">
        <f t="shared" si="13"/>
        <v>238191.35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>
        <v>24012.79</v>
      </c>
      <c r="I315" s="18"/>
      <c r="J315" s="18"/>
      <c r="K315" s="18"/>
      <c r="L315" s="19">
        <f>SUM(F315:K315)</f>
        <v>24012.79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24012.79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24012.79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50599.64</v>
      </c>
      <c r="G338" s="41">
        <f t="shared" si="20"/>
        <v>13432.04</v>
      </c>
      <c r="H338" s="41">
        <f t="shared" si="20"/>
        <v>191403.63</v>
      </c>
      <c r="I338" s="41">
        <f t="shared" si="20"/>
        <v>5972.76</v>
      </c>
      <c r="J338" s="41">
        <f t="shared" si="20"/>
        <v>771.07</v>
      </c>
      <c r="K338" s="41">
        <f t="shared" si="20"/>
        <v>25</v>
      </c>
      <c r="L338" s="41">
        <f t="shared" si="20"/>
        <v>262204.14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50599.64</v>
      </c>
      <c r="G352" s="41">
        <f>G338</f>
        <v>13432.04</v>
      </c>
      <c r="H352" s="41">
        <f>H338</f>
        <v>191403.63</v>
      </c>
      <c r="I352" s="41">
        <f>I338</f>
        <v>5972.76</v>
      </c>
      <c r="J352" s="41">
        <f>J338</f>
        <v>771.07</v>
      </c>
      <c r="K352" s="47">
        <f>K338+K351</f>
        <v>25</v>
      </c>
      <c r="L352" s="41">
        <f>L338+L351</f>
        <v>262204.14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140062</v>
      </c>
      <c r="I358" s="18">
        <v>10244.530000000001</v>
      </c>
      <c r="J358" s="18"/>
      <c r="K358" s="18"/>
      <c r="L358" s="13">
        <f>SUM(F358:K358)</f>
        <v>150306.53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140062</v>
      </c>
      <c r="I362" s="47">
        <f t="shared" si="22"/>
        <v>10244.530000000001</v>
      </c>
      <c r="J362" s="47">
        <f t="shared" si="22"/>
        <v>0</v>
      </c>
      <c r="K362" s="47">
        <f t="shared" si="22"/>
        <v>0</v>
      </c>
      <c r="L362" s="47">
        <f t="shared" si="22"/>
        <v>150306.53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9306.33</v>
      </c>
      <c r="G367" s="18"/>
      <c r="H367" s="18"/>
      <c r="I367" s="56">
        <f>SUM(F367:H367)</f>
        <v>9306.33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938.2</v>
      </c>
      <c r="G368" s="63"/>
      <c r="H368" s="63"/>
      <c r="I368" s="56">
        <f>SUM(F368:H368)</f>
        <v>938.2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10244.530000000001</v>
      </c>
      <c r="G369" s="47">
        <f>SUM(G367:G368)</f>
        <v>0</v>
      </c>
      <c r="H369" s="47">
        <f>SUM(H367:H368)</f>
        <v>0</v>
      </c>
      <c r="I369" s="47">
        <f>SUM(I367:I368)</f>
        <v>10244.530000000001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20000</v>
      </c>
      <c r="H396" s="18">
        <v>362.38</v>
      </c>
      <c r="I396" s="18"/>
      <c r="J396" s="24" t="s">
        <v>286</v>
      </c>
      <c r="K396" s="24" t="s">
        <v>286</v>
      </c>
      <c r="L396" s="56">
        <f t="shared" si="26"/>
        <v>20362.38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1301.32</v>
      </c>
      <c r="I398" s="18">
        <v>0</v>
      </c>
      <c r="J398" s="24" t="s">
        <v>286</v>
      </c>
      <c r="K398" s="24" t="s">
        <v>286</v>
      </c>
      <c r="L398" s="56">
        <f t="shared" si="26"/>
        <v>1301.32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1663.6999999999998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21663.7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 t="s">
        <v>912</v>
      </c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>
        <v>67.77</v>
      </c>
      <c r="I404" s="18">
        <v>0</v>
      </c>
      <c r="J404" s="24" t="s">
        <v>286</v>
      </c>
      <c r="K404" s="24" t="s">
        <v>286</v>
      </c>
      <c r="L404" s="56">
        <f>SUM(F404:K404)</f>
        <v>67.77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67.77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67.77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1731.4699999999998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21731.47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261734.91</v>
      </c>
      <c r="H440" s="18">
        <v>10504.91</v>
      </c>
      <c r="I440" s="56">
        <f t="shared" si="33"/>
        <v>272239.82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261734.91</v>
      </c>
      <c r="H446" s="13">
        <f>SUM(H439:H445)</f>
        <v>10504.91</v>
      </c>
      <c r="I446" s="13">
        <f>SUM(I439:I445)</f>
        <v>272239.82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261734.91</v>
      </c>
      <c r="H459" s="18">
        <v>10504.91</v>
      </c>
      <c r="I459" s="56">
        <f t="shared" si="34"/>
        <v>272239.82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261734.91</v>
      </c>
      <c r="H460" s="83">
        <f>SUM(H454:H459)</f>
        <v>10504.91</v>
      </c>
      <c r="I460" s="83">
        <f>SUM(I454:I459)</f>
        <v>272239.82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261734.91</v>
      </c>
      <c r="H461" s="42">
        <f>H452+H460</f>
        <v>10504.91</v>
      </c>
      <c r="I461" s="42">
        <f>I452+I460</f>
        <v>272239.82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821577.6</v>
      </c>
      <c r="G465" s="18">
        <v>5770.58</v>
      </c>
      <c r="H465" s="18"/>
      <c r="I465" s="18"/>
      <c r="J465" s="18">
        <v>250508.35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11627098.800000001</v>
      </c>
      <c r="G468" s="18">
        <v>148259.51999999999</v>
      </c>
      <c r="H468" s="18">
        <v>262124.14</v>
      </c>
      <c r="I468" s="18"/>
      <c r="J468" s="18">
        <v>21731.47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 t="s">
        <v>284</v>
      </c>
      <c r="G469" s="18"/>
      <c r="H469" s="18">
        <v>80</v>
      </c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11627098.800000001</v>
      </c>
      <c r="G470" s="53">
        <f>SUM(G468:G469)</f>
        <v>148259.51999999999</v>
      </c>
      <c r="H470" s="53">
        <f>SUM(H468:H469)</f>
        <v>262204.14</v>
      </c>
      <c r="I470" s="53">
        <f>SUM(I468:I469)</f>
        <v>0</v>
      </c>
      <c r="J470" s="53">
        <f>SUM(J468:J469)</f>
        <v>21731.47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11524076.5</v>
      </c>
      <c r="G472" s="18">
        <v>150306.53</v>
      </c>
      <c r="H472" s="18">
        <v>262204.14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>
        <v>75368.009999999995</v>
      </c>
      <c r="G473" s="18">
        <v>1426.95</v>
      </c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11599444.51</v>
      </c>
      <c r="G474" s="53">
        <f>SUM(G472:G473)</f>
        <v>151733.48000000001</v>
      </c>
      <c r="H474" s="53">
        <f>SUM(H472:H473)</f>
        <v>262204.14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849231.8900000006</v>
      </c>
      <c r="G476" s="53">
        <f>(G465+G470)- G474</f>
        <v>2296.6199999999662</v>
      </c>
      <c r="H476" s="53">
        <f>(H465+H470)- H474</f>
        <v>0</v>
      </c>
      <c r="I476" s="53">
        <f>(I465+I470)- I474</f>
        <v>0</v>
      </c>
      <c r="J476" s="53">
        <f>(J465+J470)- J474</f>
        <v>272239.82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 t="s">
        <v>913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 t="s">
        <v>914</v>
      </c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5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915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916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67291.399999999994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2.68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13932.98</v>
      </c>
      <c r="G495" s="18"/>
      <c r="H495" s="18"/>
      <c r="I495" s="18"/>
      <c r="J495" s="18"/>
      <c r="K495" s="53">
        <f>SUM(F495:J495)</f>
        <v>13932.98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13937.27</v>
      </c>
      <c r="G497" s="18"/>
      <c r="H497" s="18"/>
      <c r="I497" s="18"/>
      <c r="J497" s="18"/>
      <c r="K497" s="53">
        <f t="shared" si="35"/>
        <v>13937.27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0</v>
      </c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560526.65</v>
      </c>
      <c r="G521" s="18">
        <v>249329.71</v>
      </c>
      <c r="H521" s="18">
        <v>350974.74</v>
      </c>
      <c r="I521" s="18">
        <v>7287.09</v>
      </c>
      <c r="J521" s="18">
        <v>2077.8200000000002</v>
      </c>
      <c r="K521" s="18"/>
      <c r="L521" s="88">
        <f>SUM(F521:K521)</f>
        <v>1170196.0100000002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816310.53</v>
      </c>
      <c r="I523" s="18"/>
      <c r="J523" s="18"/>
      <c r="K523" s="18"/>
      <c r="L523" s="88">
        <f>SUM(F523:K523)</f>
        <v>816310.53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560526.65</v>
      </c>
      <c r="G524" s="108">
        <f t="shared" ref="G524:L524" si="36">SUM(G521:G523)</f>
        <v>249329.71</v>
      </c>
      <c r="H524" s="108">
        <f t="shared" si="36"/>
        <v>1167285.27</v>
      </c>
      <c r="I524" s="108">
        <f t="shared" si="36"/>
        <v>7287.09</v>
      </c>
      <c r="J524" s="108">
        <f t="shared" si="36"/>
        <v>2077.8200000000002</v>
      </c>
      <c r="K524" s="108">
        <f t="shared" si="36"/>
        <v>0</v>
      </c>
      <c r="L524" s="89">
        <f t="shared" si="36"/>
        <v>1986506.5400000003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197847.46</v>
      </c>
      <c r="G526" s="18">
        <v>78263.41</v>
      </c>
      <c r="H526" s="18">
        <v>122492.75</v>
      </c>
      <c r="I526" s="18">
        <v>2414.9499999999998</v>
      </c>
      <c r="J526" s="18">
        <v>152.68</v>
      </c>
      <c r="K526" s="18"/>
      <c r="L526" s="88">
        <f>SUM(F526:K526)</f>
        <v>401171.25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v>7090.53</v>
      </c>
      <c r="I528" s="18"/>
      <c r="J528" s="18"/>
      <c r="K528" s="18"/>
      <c r="L528" s="88">
        <f>SUM(F528:K528)</f>
        <v>7090.53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197847.46</v>
      </c>
      <c r="G529" s="89">
        <f t="shared" ref="G529:L529" si="37">SUM(G526:G528)</f>
        <v>78263.41</v>
      </c>
      <c r="H529" s="89">
        <f t="shared" si="37"/>
        <v>129583.28</v>
      </c>
      <c r="I529" s="89">
        <f t="shared" si="37"/>
        <v>2414.9499999999998</v>
      </c>
      <c r="J529" s="89">
        <f t="shared" si="37"/>
        <v>152.68</v>
      </c>
      <c r="K529" s="89">
        <f t="shared" si="37"/>
        <v>0</v>
      </c>
      <c r="L529" s="89">
        <f t="shared" si="37"/>
        <v>408261.78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173330</v>
      </c>
      <c r="G531" s="18">
        <v>57899.71</v>
      </c>
      <c r="H531" s="18">
        <v>832.71</v>
      </c>
      <c r="I531" s="18">
        <v>200</v>
      </c>
      <c r="J531" s="18"/>
      <c r="K531" s="18">
        <v>6984.23</v>
      </c>
      <c r="L531" s="88">
        <f>SUM(F531:K531)</f>
        <v>239246.65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173330</v>
      </c>
      <c r="G534" s="89">
        <f t="shared" ref="G534:L534" si="38">SUM(G531:G533)</f>
        <v>57899.71</v>
      </c>
      <c r="H534" s="89">
        <f t="shared" si="38"/>
        <v>832.71</v>
      </c>
      <c r="I534" s="89">
        <f t="shared" si="38"/>
        <v>200</v>
      </c>
      <c r="J534" s="89">
        <f t="shared" si="38"/>
        <v>0</v>
      </c>
      <c r="K534" s="89">
        <f t="shared" si="38"/>
        <v>6984.23</v>
      </c>
      <c r="L534" s="89">
        <f t="shared" si="38"/>
        <v>239246.65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2006.22</v>
      </c>
      <c r="I536" s="18"/>
      <c r="J536" s="18"/>
      <c r="K536" s="18"/>
      <c r="L536" s="88">
        <f>SUM(F536:K536)</f>
        <v>2006.22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2006.22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2006.22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122559.99</v>
      </c>
      <c r="I541" s="18"/>
      <c r="J541" s="18"/>
      <c r="K541" s="18"/>
      <c r="L541" s="88">
        <f>SUM(F541:K541)</f>
        <v>122559.99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68939.19</v>
      </c>
      <c r="I543" s="18"/>
      <c r="J543" s="18"/>
      <c r="K543" s="18"/>
      <c r="L543" s="88">
        <f>SUM(F543:K543)</f>
        <v>68939.19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191499.18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191499.18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931704.11</v>
      </c>
      <c r="G545" s="89">
        <f t="shared" ref="G545:L545" si="41">G524+G529+G534+G539+G544</f>
        <v>385492.83</v>
      </c>
      <c r="H545" s="89">
        <f t="shared" si="41"/>
        <v>1491206.66</v>
      </c>
      <c r="I545" s="89">
        <f t="shared" si="41"/>
        <v>9902.0400000000009</v>
      </c>
      <c r="J545" s="89">
        <f t="shared" si="41"/>
        <v>2230.5</v>
      </c>
      <c r="K545" s="89">
        <f t="shared" si="41"/>
        <v>6984.23</v>
      </c>
      <c r="L545" s="89">
        <f t="shared" si="41"/>
        <v>2827520.3700000006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1170196.0100000002</v>
      </c>
      <c r="G549" s="87">
        <f>L526</f>
        <v>401171.25</v>
      </c>
      <c r="H549" s="87">
        <f>L531</f>
        <v>239246.65</v>
      </c>
      <c r="I549" s="87">
        <f>L536</f>
        <v>2006.22</v>
      </c>
      <c r="J549" s="87">
        <f>L541</f>
        <v>122559.99</v>
      </c>
      <c r="K549" s="87">
        <f>SUM(F549:J549)</f>
        <v>1935180.12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816310.53</v>
      </c>
      <c r="G551" s="87">
        <f>L528</f>
        <v>7090.53</v>
      </c>
      <c r="H551" s="87">
        <f>L533</f>
        <v>0</v>
      </c>
      <c r="I551" s="87">
        <f>L538</f>
        <v>0</v>
      </c>
      <c r="J551" s="87">
        <f>L543</f>
        <v>68939.19</v>
      </c>
      <c r="K551" s="87">
        <f>SUM(F551:J551)</f>
        <v>892340.25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1986506.5400000003</v>
      </c>
      <c r="G552" s="89">
        <f t="shared" si="42"/>
        <v>408261.78</v>
      </c>
      <c r="H552" s="89">
        <f t="shared" si="42"/>
        <v>239246.65</v>
      </c>
      <c r="I552" s="89">
        <f t="shared" si="42"/>
        <v>2006.22</v>
      </c>
      <c r="J552" s="89">
        <f t="shared" si="42"/>
        <v>191499.18</v>
      </c>
      <c r="K552" s="89">
        <f t="shared" si="42"/>
        <v>2827520.37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f>3488497.32+38176.34</f>
        <v>3526673.6599999997</v>
      </c>
      <c r="I575" s="87">
        <f>SUM(F575:H575)</f>
        <v>3526673.6599999997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>
        <v>23724</v>
      </c>
      <c r="I577" s="87">
        <f t="shared" si="47"/>
        <v>23724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>
        <f>295793.03+85637.36</f>
        <v>381430.39</v>
      </c>
      <c r="I579" s="87">
        <f t="shared" si="47"/>
        <v>381430.39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>
        <v>109545</v>
      </c>
      <c r="G580" s="18"/>
      <c r="H580" s="18">
        <v>14997.5</v>
      </c>
      <c r="I580" s="87">
        <f t="shared" si="47"/>
        <v>124542.5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107903.15</v>
      </c>
      <c r="G582" s="18"/>
      <c r="H582" s="18">
        <f>20900+3621.49</f>
        <v>24521.489999999998</v>
      </c>
      <c r="I582" s="87">
        <f t="shared" si="47"/>
        <v>132424.63999999998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>
        <v>361871.88</v>
      </c>
      <c r="I583" s="87">
        <f t="shared" si="47"/>
        <v>361871.88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326506.74</v>
      </c>
      <c r="I591" s="18"/>
      <c r="J591" s="18">
        <v>108835.58</v>
      </c>
      <c r="K591" s="104">
        <f t="shared" ref="K591:K597" si="48">SUM(H591:J591)</f>
        <v>435342.32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122559.99</v>
      </c>
      <c r="I592" s="18"/>
      <c r="J592" s="18">
        <v>68939.19</v>
      </c>
      <c r="K592" s="104">
        <f t="shared" si="48"/>
        <v>191499.18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6534.15</v>
      </c>
      <c r="I594" s="18"/>
      <c r="J594" s="18"/>
      <c r="K594" s="104">
        <f t="shared" si="48"/>
        <v>6534.15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6758.77</v>
      </c>
      <c r="I595" s="18"/>
      <c r="J595" s="18"/>
      <c r="K595" s="104">
        <f t="shared" si="48"/>
        <v>6758.77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462359.65</v>
      </c>
      <c r="I598" s="108">
        <f>SUM(I591:I597)</f>
        <v>0</v>
      </c>
      <c r="J598" s="108">
        <f>SUM(J591:J597)</f>
        <v>177774.77000000002</v>
      </c>
      <c r="K598" s="108">
        <f>SUM(K591:K597)</f>
        <v>640134.42000000004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>
        <v>48360.19</v>
      </c>
      <c r="I603" s="18"/>
      <c r="J603" s="18"/>
      <c r="K603" s="104">
        <f>SUM(H603:J603)</f>
        <v>48360.19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118987.53</v>
      </c>
      <c r="I604" s="18"/>
      <c r="J604" s="18"/>
      <c r="K604" s="104">
        <f>SUM(H604:J604)</f>
        <v>118987.53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167347.72</v>
      </c>
      <c r="I605" s="108">
        <f>SUM(I602:I604)</f>
        <v>0</v>
      </c>
      <c r="J605" s="108">
        <f>SUM(J602:J604)</f>
        <v>0</v>
      </c>
      <c r="K605" s="108">
        <f>SUM(K602:K604)</f>
        <v>167347.72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1691013.1099999999</v>
      </c>
      <c r="H617" s="109">
        <f>SUM(F52)</f>
        <v>1691013.1099999999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75691.23000000001</v>
      </c>
      <c r="H618" s="109">
        <f>SUM(G52)</f>
        <v>75691.23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86298.48</v>
      </c>
      <c r="H619" s="109">
        <f>SUM(H52)</f>
        <v>86298.48000000001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272239.82</v>
      </c>
      <c r="H621" s="109">
        <f>SUM(J52)</f>
        <v>272239.82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849231.89</v>
      </c>
      <c r="H622" s="109">
        <f>F476</f>
        <v>849231.8900000006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2296.6200000000003</v>
      </c>
      <c r="H623" s="109">
        <f>G476</f>
        <v>2296.6199999999662</v>
      </c>
      <c r="I623" s="121" t="s">
        <v>102</v>
      </c>
      <c r="J623" s="109">
        <f t="shared" si="50"/>
        <v>3.4106051316484809E-11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272239.82</v>
      </c>
      <c r="H626" s="109">
        <f>J476</f>
        <v>272239.82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11627098.800000001</v>
      </c>
      <c r="H627" s="104">
        <f>SUM(F468)</f>
        <v>11627098.800000001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148259.51999999999</v>
      </c>
      <c r="H628" s="104">
        <f>SUM(G468)</f>
        <v>148259.51999999999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262124.14</v>
      </c>
      <c r="H629" s="104">
        <f>SUM(H468)</f>
        <v>262124.14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21731.47</v>
      </c>
      <c r="H631" s="104">
        <f>SUM(J468)</f>
        <v>21731.47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11524076.5</v>
      </c>
      <c r="H632" s="104">
        <f>SUM(F472)</f>
        <v>11524076.5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262204.14</v>
      </c>
      <c r="H633" s="104">
        <f>SUM(H472)</f>
        <v>262204.14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10244.530000000001</v>
      </c>
      <c r="H634" s="104">
        <f>I369</f>
        <v>10244.530000000001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150306.53</v>
      </c>
      <c r="H635" s="104">
        <f>SUM(G472)</f>
        <v>150306.53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21731.47</v>
      </c>
      <c r="H637" s="164">
        <f>SUM(J468)</f>
        <v>21731.47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261734.91</v>
      </c>
      <c r="H640" s="104">
        <f>SUM(G461)</f>
        <v>261734.91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10504.91</v>
      </c>
      <c r="H641" s="104">
        <f>SUM(H461)</f>
        <v>10504.91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272239.82</v>
      </c>
      <c r="H642" s="104">
        <f>SUM(I461)</f>
        <v>272239.82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1731.47</v>
      </c>
      <c r="H644" s="104">
        <f>H408</f>
        <v>1731.4699999999998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20000</v>
      </c>
      <c r="H645" s="104">
        <f>G408</f>
        <v>20000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21731.47</v>
      </c>
      <c r="H646" s="104">
        <f>L408</f>
        <v>21731.47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640134.42000000004</v>
      </c>
      <c r="H647" s="104">
        <f>L208+L226+L244</f>
        <v>640134.42000000004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167347.72</v>
      </c>
      <c r="H648" s="104">
        <f>(J257+J338)-(J255+J336)</f>
        <v>167347.72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462359.65</v>
      </c>
      <c r="H649" s="104">
        <f>H598</f>
        <v>462359.65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177774.77</v>
      </c>
      <c r="H651" s="104">
        <f>J598</f>
        <v>177774.77000000002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20000</v>
      </c>
      <c r="H655" s="104">
        <f>K266+K347</f>
        <v>20000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7230263.6799999997</v>
      </c>
      <c r="G660" s="19">
        <f>(L229+L309+L359)</f>
        <v>0</v>
      </c>
      <c r="H660" s="19">
        <f>(L247+L328+L360)</f>
        <v>4551573.49</v>
      </c>
      <c r="I660" s="19">
        <f>SUM(F660:H660)</f>
        <v>11781837.17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102432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102432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462846.17000000004</v>
      </c>
      <c r="G662" s="19">
        <f>(L226+L306)-(J226+J306)</f>
        <v>0</v>
      </c>
      <c r="H662" s="19">
        <f>(L244+L325)-(J244+J325)</f>
        <v>177774.77</v>
      </c>
      <c r="I662" s="19">
        <f>SUM(F662:H662)</f>
        <v>640620.94000000006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384795.87</v>
      </c>
      <c r="G663" s="199">
        <f>SUM(G575:G587)+SUM(I602:I604)+L612</f>
        <v>0</v>
      </c>
      <c r="H663" s="199">
        <f>SUM(H575:H587)+SUM(J602:J604)+L613</f>
        <v>4333218.92</v>
      </c>
      <c r="I663" s="19">
        <f>SUM(F663:H663)</f>
        <v>4718014.79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6280189.6399999997</v>
      </c>
      <c r="G664" s="19">
        <f>G660-SUM(G661:G663)</f>
        <v>0</v>
      </c>
      <c r="H664" s="19">
        <f>H660-SUM(H661:H663)</f>
        <v>40579.800000000745</v>
      </c>
      <c r="I664" s="19">
        <f>I660-SUM(I661:I663)</f>
        <v>6320769.4399999995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406.91</v>
      </c>
      <c r="G665" s="248"/>
      <c r="H665" s="248"/>
      <c r="I665" s="19">
        <f>SUM(F665:H665)</f>
        <v>406.91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15433.85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15533.58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-40579.800000000003</v>
      </c>
      <c r="I669" s="19">
        <f>SUM(F669:H669)</f>
        <v>-40579.800000000003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15433.85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15433.85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85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2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Fremont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1800374.32</v>
      </c>
      <c r="C9" s="229">
        <f>'DOE25'!G197+'DOE25'!G215+'DOE25'!G233+'DOE25'!G276+'DOE25'!G295+'DOE25'!G314</f>
        <v>961225.97</v>
      </c>
    </row>
    <row r="10" spans="1:3" x14ac:dyDescent="0.2">
      <c r="A10" t="s">
        <v>773</v>
      </c>
      <c r="B10" s="240">
        <f>24661.62+1696915.47</f>
        <v>1721577.09</v>
      </c>
      <c r="C10" s="240">
        <v>955197.98</v>
      </c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>
        <f>4080+2180+400+72137.23</f>
        <v>78797.23</v>
      </c>
      <c r="C12" s="240">
        <v>6027.99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1800374.32</v>
      </c>
      <c r="C13" s="231">
        <f>SUM(C10:C12)</f>
        <v>961225.97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560526.65</v>
      </c>
      <c r="C18" s="229">
        <f>'DOE25'!G198+'DOE25'!G216+'DOE25'!G234+'DOE25'!G277+'DOE25'!G296+'DOE25'!G315</f>
        <v>249329.71</v>
      </c>
    </row>
    <row r="19" spans="1:3" x14ac:dyDescent="0.2">
      <c r="A19" t="s">
        <v>773</v>
      </c>
      <c r="B19" s="240">
        <f>159737.87+61570+6280.5</f>
        <v>227588.37</v>
      </c>
      <c r="C19" s="240">
        <v>154803.14000000001</v>
      </c>
    </row>
    <row r="20" spans="1:3" x14ac:dyDescent="0.2">
      <c r="A20" t="s">
        <v>774</v>
      </c>
      <c r="B20" s="240">
        <f>3197.52+309014.47</f>
        <v>312211.99</v>
      </c>
      <c r="C20" s="240">
        <v>92941</v>
      </c>
    </row>
    <row r="21" spans="1:3" x14ac:dyDescent="0.2">
      <c r="A21" t="s">
        <v>775</v>
      </c>
      <c r="B21" s="240">
        <f>2062.96+11613.26+1050.07+4860+1140</f>
        <v>20726.29</v>
      </c>
      <c r="C21" s="240">
        <v>1585.57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560526.65</v>
      </c>
      <c r="C22" s="231">
        <f>SUM(C19:C21)</f>
        <v>249329.71000000002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48320</v>
      </c>
      <c r="C36" s="235">
        <f>'DOE25'!G200+'DOE25'!G218+'DOE25'!G236+'DOE25'!G279+'DOE25'!G298+'DOE25'!G317</f>
        <v>10689.7</v>
      </c>
    </row>
    <row r="37" spans="1:3" x14ac:dyDescent="0.2">
      <c r="A37" t="s">
        <v>773</v>
      </c>
      <c r="B37" s="240">
        <v>45032.5</v>
      </c>
      <c r="C37" s="240">
        <v>10197.85</v>
      </c>
    </row>
    <row r="38" spans="1:3" x14ac:dyDescent="0.2">
      <c r="A38" t="s">
        <v>774</v>
      </c>
      <c r="B38" s="240">
        <v>1700</v>
      </c>
      <c r="C38" s="240">
        <v>130.05000000000001</v>
      </c>
    </row>
    <row r="39" spans="1:3" x14ac:dyDescent="0.2">
      <c r="A39" t="s">
        <v>775</v>
      </c>
      <c r="B39" s="240">
        <v>1587.5</v>
      </c>
      <c r="C39" s="240">
        <v>361.8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48320</v>
      </c>
      <c r="C40" s="231">
        <f>SUM(C37:C39)</f>
        <v>10689.699999999999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4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Fremont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8371475.0500000007</v>
      </c>
      <c r="D5" s="20">
        <f>SUM('DOE25'!L197:L200)+SUM('DOE25'!L215:L218)+SUM('DOE25'!L233:L236)-F5-G5</f>
        <v>8293487.830000001</v>
      </c>
      <c r="E5" s="243"/>
      <c r="F5" s="255">
        <f>SUM('DOE25'!J197:J200)+SUM('DOE25'!J215:J218)+SUM('DOE25'!J233:J236)</f>
        <v>76743.22</v>
      </c>
      <c r="G5" s="53">
        <f>SUM('DOE25'!K197:K200)+SUM('DOE25'!K215:K218)+SUM('DOE25'!K233:K236)</f>
        <v>1244</v>
      </c>
      <c r="H5" s="259"/>
    </row>
    <row r="6" spans="1:9" x14ac:dyDescent="0.2">
      <c r="A6" s="32">
        <v>2100</v>
      </c>
      <c r="B6" t="s">
        <v>795</v>
      </c>
      <c r="C6" s="245">
        <f t="shared" si="0"/>
        <v>591765.65</v>
      </c>
      <c r="D6" s="20">
        <f>'DOE25'!L202+'DOE25'!L220+'DOE25'!L238-F6-G6</f>
        <v>589704.77</v>
      </c>
      <c r="E6" s="243"/>
      <c r="F6" s="255">
        <f>'DOE25'!J202+'DOE25'!J220+'DOE25'!J238</f>
        <v>1915.88</v>
      </c>
      <c r="G6" s="53">
        <f>'DOE25'!K202+'DOE25'!K220+'DOE25'!K238</f>
        <v>145</v>
      </c>
      <c r="H6" s="259"/>
    </row>
    <row r="7" spans="1:9" x14ac:dyDescent="0.2">
      <c r="A7" s="32">
        <v>2200</v>
      </c>
      <c r="B7" t="s">
        <v>828</v>
      </c>
      <c r="C7" s="245">
        <f t="shared" si="0"/>
        <v>186138.65</v>
      </c>
      <c r="D7" s="20">
        <f>'DOE25'!L203+'DOE25'!L221+'DOE25'!L239-F7-G7</f>
        <v>156577.31</v>
      </c>
      <c r="E7" s="243"/>
      <c r="F7" s="255">
        <f>'DOE25'!J203+'DOE25'!J221+'DOE25'!J239</f>
        <v>29221.34</v>
      </c>
      <c r="G7" s="53">
        <f>'DOE25'!K203+'DOE25'!K221+'DOE25'!K239</f>
        <v>340</v>
      </c>
      <c r="H7" s="259"/>
    </row>
    <row r="8" spans="1:9" x14ac:dyDescent="0.2">
      <c r="A8" s="32">
        <v>2300</v>
      </c>
      <c r="B8" t="s">
        <v>796</v>
      </c>
      <c r="C8" s="245">
        <f t="shared" si="0"/>
        <v>495565.9599999999</v>
      </c>
      <c r="D8" s="243"/>
      <c r="E8" s="20">
        <f>'DOE25'!L204+'DOE25'!L222+'DOE25'!L240-F8-G8-D9-D11</f>
        <v>477352.89999999991</v>
      </c>
      <c r="F8" s="255">
        <f>'DOE25'!J204+'DOE25'!J222+'DOE25'!J240</f>
        <v>0</v>
      </c>
      <c r="G8" s="53">
        <f>'DOE25'!K204+'DOE25'!K222+'DOE25'!K240</f>
        <v>18213.060000000001</v>
      </c>
      <c r="H8" s="259"/>
    </row>
    <row r="9" spans="1:9" x14ac:dyDescent="0.2">
      <c r="A9" s="32">
        <v>2310</v>
      </c>
      <c r="B9" t="s">
        <v>812</v>
      </c>
      <c r="C9" s="245">
        <f t="shared" si="0"/>
        <v>40164.54</v>
      </c>
      <c r="D9" s="244">
        <v>40164.54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11250</v>
      </c>
      <c r="D10" s="243"/>
      <c r="E10" s="244">
        <v>11250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110047.89</v>
      </c>
      <c r="D11" s="244">
        <v>110047.89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435891.29999999993</v>
      </c>
      <c r="D12" s="20">
        <f>'DOE25'!L205+'DOE25'!L223+'DOE25'!L241-F12-G12</f>
        <v>432155.90999999992</v>
      </c>
      <c r="E12" s="243"/>
      <c r="F12" s="255">
        <f>'DOE25'!J205+'DOE25'!J223+'DOE25'!J241</f>
        <v>0</v>
      </c>
      <c r="G12" s="53">
        <f>'DOE25'!K205+'DOE25'!K223+'DOE25'!K241</f>
        <v>3735.39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498143.04000000004</v>
      </c>
      <c r="D14" s="20">
        <f>'DOE25'!L207+'DOE25'!L225+'DOE25'!L243-F14-G14</f>
        <v>439446.83</v>
      </c>
      <c r="E14" s="243"/>
      <c r="F14" s="255">
        <f>'DOE25'!J207+'DOE25'!J225+'DOE25'!J243</f>
        <v>58696.21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640134.42000000004</v>
      </c>
      <c r="D15" s="20">
        <f>'DOE25'!L208+'DOE25'!L226+'DOE25'!L244-F15-G15</f>
        <v>640134.42000000004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134750</v>
      </c>
      <c r="D22" s="243"/>
      <c r="E22" s="243"/>
      <c r="F22" s="255">
        <f>'DOE25'!L255+'DOE25'!L336</f>
        <v>134750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141000.20000000001</v>
      </c>
      <c r="D29" s="20">
        <f>'DOE25'!L358+'DOE25'!L359+'DOE25'!L360-'DOE25'!I367-F29-G29</f>
        <v>141000.20000000001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262204.14</v>
      </c>
      <c r="D31" s="20">
        <f>'DOE25'!L290+'DOE25'!L309+'DOE25'!L328+'DOE25'!L333+'DOE25'!L334+'DOE25'!L335-F31-G31</f>
        <v>261408.07</v>
      </c>
      <c r="E31" s="243"/>
      <c r="F31" s="255">
        <f>'DOE25'!J290+'DOE25'!J309+'DOE25'!J328+'DOE25'!J333+'DOE25'!J334+'DOE25'!J335</f>
        <v>771.07</v>
      </c>
      <c r="G31" s="53">
        <f>'DOE25'!K290+'DOE25'!K309+'DOE25'!K328+'DOE25'!K333+'DOE25'!K334+'DOE25'!K335</f>
        <v>25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11104127.770000001</v>
      </c>
      <c r="E33" s="246">
        <f>SUM(E5:E31)</f>
        <v>488602.89999999991</v>
      </c>
      <c r="F33" s="246">
        <f>SUM(F5:F31)</f>
        <v>302097.72000000003</v>
      </c>
      <c r="G33" s="246">
        <f>SUM(G5:G31)</f>
        <v>23702.45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488602.89999999991</v>
      </c>
      <c r="E35" s="249"/>
    </row>
    <row r="36" spans="2:8" ht="12" thickTop="1" x14ac:dyDescent="0.2">
      <c r="B36" t="s">
        <v>809</v>
      </c>
      <c r="D36" s="20">
        <f>D33</f>
        <v>11104127.770000001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3" activePane="bottomLeft" state="frozen"/>
      <selection activeCell="F46" sqref="F46"/>
      <selection pane="bottomLeft" activeCell="I64" sqref="I6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Fremont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883514.87</v>
      </c>
      <c r="D8" s="95">
        <f>'DOE25'!G9</f>
        <v>64171.23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602170.37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272239.82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135849.18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69288.22</v>
      </c>
      <c r="D12" s="95">
        <f>'DOE25'!G13</f>
        <v>3020.75</v>
      </c>
      <c r="E12" s="95">
        <f>'DOE25'!H13</f>
        <v>86298.48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190.47</v>
      </c>
      <c r="D13" s="95">
        <f>'DOE25'!G14</f>
        <v>3802.45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4696.8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1691013.1099999999</v>
      </c>
      <c r="D18" s="41">
        <f>SUM(D8:D17)</f>
        <v>75691.23000000001</v>
      </c>
      <c r="E18" s="41">
        <f>SUM(E8:E17)</f>
        <v>86298.48</v>
      </c>
      <c r="F18" s="41">
        <f>SUM(F8:F17)</f>
        <v>0</v>
      </c>
      <c r="G18" s="41">
        <f>SUM(G8:G17)</f>
        <v>272239.82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56936.33</v>
      </c>
      <c r="E21" s="95">
        <f>'DOE25'!H22</f>
        <v>78912.850000000006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700786.84</v>
      </c>
      <c r="D23" s="95">
        <f>'DOE25'!G24</f>
        <v>12102.38</v>
      </c>
      <c r="E23" s="95">
        <f>'DOE25'!H24</f>
        <v>7385.63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136744.75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2249.63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2000</v>
      </c>
      <c r="D29" s="95">
        <f>'DOE25'!G30</f>
        <v>4355.8999999999996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841781.22</v>
      </c>
      <c r="D31" s="41">
        <f>SUM(D21:D30)</f>
        <v>73394.61</v>
      </c>
      <c r="E31" s="41">
        <f>SUM(E21:E30)</f>
        <v>86298.48000000001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4696.8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275000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-2400.1799999999998</v>
      </c>
      <c r="E47" s="95">
        <f>'DOE25'!H48</f>
        <v>0</v>
      </c>
      <c r="F47" s="95">
        <f>'DOE25'!I48</f>
        <v>0</v>
      </c>
      <c r="G47" s="95">
        <f>'DOE25'!J48</f>
        <v>272239.82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574231.89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849231.89</v>
      </c>
      <c r="D50" s="41">
        <f>SUM(D34:D49)</f>
        <v>2296.6200000000003</v>
      </c>
      <c r="E50" s="41">
        <f>SUM(E34:E49)</f>
        <v>0</v>
      </c>
      <c r="F50" s="41">
        <f>SUM(F34:F49)</f>
        <v>0</v>
      </c>
      <c r="G50" s="41">
        <f>SUM(G34:G49)</f>
        <v>272239.82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1691013.1099999999</v>
      </c>
      <c r="D51" s="41">
        <f>D50+D31</f>
        <v>75691.23</v>
      </c>
      <c r="E51" s="41">
        <f>E50+E31</f>
        <v>86298.48000000001</v>
      </c>
      <c r="F51" s="41">
        <f>F50+F31</f>
        <v>0</v>
      </c>
      <c r="G51" s="41">
        <f>G50+G31</f>
        <v>272239.82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8663007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22977.5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7496.67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1731.47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102432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30560.89</v>
      </c>
      <c r="D61" s="95">
        <f>SUM('DOE25'!G98:G110)</f>
        <v>0</v>
      </c>
      <c r="E61" s="95">
        <f>SUM('DOE25'!H98:H110)</f>
        <v>58.47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61035.06</v>
      </c>
      <c r="D62" s="130">
        <f>SUM(D57:D61)</f>
        <v>102432</v>
      </c>
      <c r="E62" s="130">
        <f>SUM(E57:E61)</f>
        <v>58.47</v>
      </c>
      <c r="F62" s="130">
        <f>SUM(F57:F61)</f>
        <v>0</v>
      </c>
      <c r="G62" s="130">
        <f>SUM(G57:G61)</f>
        <v>1731.47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8724042.0600000005</v>
      </c>
      <c r="D63" s="22">
        <f>D56+D62</f>
        <v>102432</v>
      </c>
      <c r="E63" s="22">
        <f>E56+E62</f>
        <v>58.47</v>
      </c>
      <c r="F63" s="22">
        <f>F56+F62</f>
        <v>0</v>
      </c>
      <c r="G63" s="22">
        <f>G56+G62</f>
        <v>1731.47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1632742.68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921386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10277.1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2564405.7799999998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250643.31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11448.869999999999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250643.31</v>
      </c>
      <c r="D78" s="130">
        <f>SUM(D72:D77)</f>
        <v>11448.869999999999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2815049.09</v>
      </c>
      <c r="D81" s="130">
        <f>SUM(D79:D80)+D78+D70</f>
        <v>11448.869999999999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33059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88007.65</v>
      </c>
      <c r="D88" s="95">
        <f>SUM('DOE25'!G153:G161)</f>
        <v>34378.65</v>
      </c>
      <c r="E88" s="95">
        <f>SUM('DOE25'!H153:H161)</f>
        <v>229006.66999999998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88007.65</v>
      </c>
      <c r="D91" s="131">
        <f>SUM(D85:D90)</f>
        <v>34378.65</v>
      </c>
      <c r="E91" s="131">
        <f>SUM(E85:E90)</f>
        <v>262065.66999999998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20000</v>
      </c>
    </row>
    <row r="104" spans="1:7" ht="12.75" thickTop="1" thickBot="1" x14ac:dyDescent="0.25">
      <c r="A104" s="33" t="s">
        <v>759</v>
      </c>
      <c r="C104" s="86">
        <f>C63+C81+C91+C103</f>
        <v>11627098.800000001</v>
      </c>
      <c r="D104" s="86">
        <f>D63+D81+D91+D103</f>
        <v>148259.51999999999</v>
      </c>
      <c r="E104" s="86">
        <f>E63+E81+E91+E103</f>
        <v>262124.13999999998</v>
      </c>
      <c r="F104" s="86">
        <f>F63+F81+F91+F103</f>
        <v>0</v>
      </c>
      <c r="G104" s="86">
        <f>G63+G81+G103</f>
        <v>21731.47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6435046.96</v>
      </c>
      <c r="D109" s="24" t="s">
        <v>286</v>
      </c>
      <c r="E109" s="95">
        <f>('DOE25'!L276)+('DOE25'!L295)+('DOE25'!L314)</f>
        <v>28020.53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1876936.01</v>
      </c>
      <c r="D110" s="24" t="s">
        <v>286</v>
      </c>
      <c r="E110" s="95">
        <f>('DOE25'!L277)+('DOE25'!L296)+('DOE25'!L315)</f>
        <v>109570.53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59492.08</v>
      </c>
      <c r="D112" s="24" t="s">
        <v>286</v>
      </c>
      <c r="E112" s="95">
        <f>+('DOE25'!L279)+('DOE25'!L298)+('DOE25'!L317)</f>
        <v>15252.52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8371475.0499999998</v>
      </c>
      <c r="D115" s="86">
        <f>SUM(D109:D114)</f>
        <v>0</v>
      </c>
      <c r="E115" s="86">
        <f>SUM(E109:E114)</f>
        <v>152843.57999999999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591765.65</v>
      </c>
      <c r="D118" s="24" t="s">
        <v>286</v>
      </c>
      <c r="E118" s="95">
        <f>+('DOE25'!L281)+('DOE25'!L300)+('DOE25'!L319)</f>
        <v>3030.15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186138.65</v>
      </c>
      <c r="D119" s="24" t="s">
        <v>286</v>
      </c>
      <c r="E119" s="95">
        <f>+('DOE25'!L282)+('DOE25'!L301)+('DOE25'!L320)</f>
        <v>99009.890000000014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645778.39</v>
      </c>
      <c r="D120" s="24" t="s">
        <v>286</v>
      </c>
      <c r="E120" s="95">
        <f>+('DOE25'!L283)+('DOE25'!L302)+('DOE25'!L321)</f>
        <v>6834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435891.29999999993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498143.04000000004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640134.42000000004</v>
      </c>
      <c r="D124" s="24" t="s">
        <v>286</v>
      </c>
      <c r="E124" s="95">
        <f>+('DOE25'!L287)+('DOE25'!L306)+('DOE25'!L325)</f>
        <v>486.52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150306.53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2997851.4499999997</v>
      </c>
      <c r="D128" s="86">
        <f>SUM(D118:D127)</f>
        <v>150306.53</v>
      </c>
      <c r="E128" s="86">
        <f>SUM(E118:E127)</f>
        <v>109360.56000000001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134750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21663.7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67.77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-1731.4700000000012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154750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11524076.5</v>
      </c>
      <c r="D145" s="86">
        <f>(D115+D128+D144)</f>
        <v>150306.53</v>
      </c>
      <c r="E145" s="86">
        <f>(E115+E128+E144)</f>
        <v>262204.14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04/13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67291.399999999994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2.68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13932.98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13932.98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13937.27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13937.27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3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Fremont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15434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15434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6463067</v>
      </c>
      <c r="D10" s="182">
        <f>ROUND((C10/$C$28)*100,1)</f>
        <v>55.3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1986507</v>
      </c>
      <c r="D11" s="182">
        <f>ROUND((C11/$C$28)*100,1)</f>
        <v>17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74745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594796</v>
      </c>
      <c r="D15" s="182">
        <f t="shared" ref="D15:D27" si="0">ROUND((C15/$C$28)*100,1)</f>
        <v>5.0999999999999996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285149</v>
      </c>
      <c r="D16" s="182">
        <f t="shared" si="0"/>
        <v>2.4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652612</v>
      </c>
      <c r="D17" s="182">
        <f t="shared" si="0"/>
        <v>5.6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435891</v>
      </c>
      <c r="D18" s="182">
        <f t="shared" si="0"/>
        <v>3.7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498143</v>
      </c>
      <c r="D20" s="182">
        <f t="shared" si="0"/>
        <v>4.3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640621</v>
      </c>
      <c r="D21" s="182">
        <f t="shared" si="0"/>
        <v>5.5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47875</v>
      </c>
      <c r="D27" s="182">
        <f t="shared" si="0"/>
        <v>0.4</v>
      </c>
    </row>
    <row r="28" spans="1:4" x14ac:dyDescent="0.2">
      <c r="B28" s="187" t="s">
        <v>717</v>
      </c>
      <c r="C28" s="180">
        <f>SUM(C10:C27)</f>
        <v>11679406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134750</v>
      </c>
    </row>
    <row r="30" spans="1:4" x14ac:dyDescent="0.2">
      <c r="B30" s="187" t="s">
        <v>723</v>
      </c>
      <c r="C30" s="180">
        <f>SUM(C28:C29)</f>
        <v>11814156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8663007</v>
      </c>
      <c r="D35" s="182">
        <f t="shared" ref="D35:D40" si="1">ROUND((C35/$C$41)*100,1)</f>
        <v>72.599999999999994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62825.000000001863</v>
      </c>
      <c r="D36" s="182">
        <f t="shared" si="1"/>
        <v>0.5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2554129</v>
      </c>
      <c r="D37" s="182">
        <f t="shared" si="1"/>
        <v>21.4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272369</v>
      </c>
      <c r="D38" s="182">
        <f t="shared" si="1"/>
        <v>2.2999999999999998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384452</v>
      </c>
      <c r="D39" s="182">
        <f t="shared" si="1"/>
        <v>3.2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11936782.000000002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Fremont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2018-09-01T21:22:06Z</cp:lastPrinted>
  <dcterms:created xsi:type="dcterms:W3CDTF">1997-12-04T19:04:30Z</dcterms:created>
  <dcterms:modified xsi:type="dcterms:W3CDTF">2018-11-13T19:41:49Z</dcterms:modified>
</cp:coreProperties>
</file>