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059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C18" i="10" s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C15" i="10" s="1"/>
  <c r="L282" i="1"/>
  <c r="L283" i="1"/>
  <c r="L284" i="1"/>
  <c r="E121" i="2" s="1"/>
  <c r="L285" i="1"/>
  <c r="C19" i="10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9" i="1" s="1"/>
  <c r="H162" i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E111" i="2"/>
  <c r="C112" i="2"/>
  <c r="C113" i="2"/>
  <c r="E113" i="2"/>
  <c r="C114" i="2"/>
  <c r="D115" i="2"/>
  <c r="F115" i="2"/>
  <c r="G115" i="2"/>
  <c r="E118" i="2"/>
  <c r="C119" i="2"/>
  <c r="E119" i="2"/>
  <c r="E120" i="2"/>
  <c r="C121" i="2"/>
  <c r="E122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H257" i="1" s="1"/>
  <c r="H271" i="1" s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L257" i="1" s="1"/>
  <c r="L271" i="1" s="1"/>
  <c r="G632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I461" i="1" s="1"/>
  <c r="H642" i="1" s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0" i="1"/>
  <c r="H640" i="1"/>
  <c r="G641" i="1"/>
  <c r="J641" i="1" s="1"/>
  <c r="H641" i="1"/>
  <c r="G643" i="1"/>
  <c r="J643" i="1" s="1"/>
  <c r="H643" i="1"/>
  <c r="G644" i="1"/>
  <c r="G645" i="1"/>
  <c r="J645" i="1" s="1"/>
  <c r="H645" i="1"/>
  <c r="G650" i="1"/>
  <c r="G651" i="1"/>
  <c r="J651" i="1" s="1"/>
  <c r="G652" i="1"/>
  <c r="H652" i="1"/>
  <c r="G653" i="1"/>
  <c r="H653" i="1"/>
  <c r="G654" i="1"/>
  <c r="H654" i="1"/>
  <c r="H655" i="1"/>
  <c r="F192" i="1"/>
  <c r="I257" i="1"/>
  <c r="I271" i="1" s="1"/>
  <c r="G257" i="1"/>
  <c r="G271" i="1" s="1"/>
  <c r="C26" i="10"/>
  <c r="L328" i="1"/>
  <c r="L290" i="1"/>
  <c r="F660" i="1" s="1"/>
  <c r="A31" i="12"/>
  <c r="A40" i="12"/>
  <c r="D12" i="13"/>
  <c r="C12" i="13" s="1"/>
  <c r="D62" i="2"/>
  <c r="D63" i="2" s="1"/>
  <c r="D7" i="13"/>
  <c r="C7" i="13" s="1"/>
  <c r="D18" i="2"/>
  <c r="E8" i="13"/>
  <c r="C8" i="13" s="1"/>
  <c r="D50" i="2"/>
  <c r="G156" i="2"/>
  <c r="D91" i="2"/>
  <c r="G62" i="2"/>
  <c r="D29" i="13"/>
  <c r="C29" i="13" s="1"/>
  <c r="D19" i="13"/>
  <c r="C19" i="13" s="1"/>
  <c r="J617" i="1"/>
  <c r="E78" i="2"/>
  <c r="E81" i="2" s="1"/>
  <c r="H112" i="1"/>
  <c r="F112" i="1"/>
  <c r="K605" i="1"/>
  <c r="G648" i="1" s="1"/>
  <c r="J571" i="1"/>
  <c r="D81" i="2"/>
  <c r="I169" i="1"/>
  <c r="G552" i="1"/>
  <c r="J476" i="1"/>
  <c r="H626" i="1" s="1"/>
  <c r="F476" i="1"/>
  <c r="H622" i="1" s="1"/>
  <c r="J622" i="1" s="1"/>
  <c r="G338" i="1"/>
  <c r="G352" i="1" s="1"/>
  <c r="F169" i="1"/>
  <c r="J140" i="1"/>
  <c r="K550" i="1"/>
  <c r="G22" i="2"/>
  <c r="J552" i="1"/>
  <c r="H552" i="1"/>
  <c r="H140" i="1"/>
  <c r="L401" i="1"/>
  <c r="C139" i="2" s="1"/>
  <c r="A13" i="12"/>
  <c r="F22" i="13"/>
  <c r="C22" i="13" s="1"/>
  <c r="H25" i="13"/>
  <c r="C25" i="13" s="1"/>
  <c r="J640" i="1"/>
  <c r="H571" i="1"/>
  <c r="F338" i="1"/>
  <c r="F352" i="1" s="1"/>
  <c r="H192" i="1"/>
  <c r="F552" i="1"/>
  <c r="D5" i="13"/>
  <c r="C5" i="13" s="1"/>
  <c r="E16" i="13"/>
  <c r="L570" i="1"/>
  <c r="I571" i="1"/>
  <c r="G36" i="2"/>
  <c r="L565" i="1"/>
  <c r="K551" i="1"/>
  <c r="G164" i="2" l="1"/>
  <c r="G161" i="2"/>
  <c r="F78" i="2"/>
  <c r="F81" i="2" s="1"/>
  <c r="D31" i="2"/>
  <c r="E31" i="2"/>
  <c r="F18" i="2"/>
  <c r="E62" i="2"/>
  <c r="E63" i="2" s="1"/>
  <c r="D18" i="13"/>
  <c r="C18" i="13" s="1"/>
  <c r="E13" i="13"/>
  <c r="C13" i="13" s="1"/>
  <c r="E103" i="2"/>
  <c r="C91" i="2"/>
  <c r="D14" i="13"/>
  <c r="C14" i="13" s="1"/>
  <c r="H33" i="13"/>
  <c r="C18" i="2"/>
  <c r="J647" i="1"/>
  <c r="E128" i="2"/>
  <c r="K552" i="1"/>
  <c r="H660" i="1"/>
  <c r="H664" i="1" s="1"/>
  <c r="H672" i="1" s="1"/>
  <c r="C6" i="10" s="1"/>
  <c r="C78" i="2"/>
  <c r="C81" i="2" s="1"/>
  <c r="D145" i="2"/>
  <c r="K503" i="1"/>
  <c r="L382" i="1"/>
  <c r="G636" i="1" s="1"/>
  <c r="J636" i="1" s="1"/>
  <c r="F661" i="1"/>
  <c r="D6" i="13"/>
  <c r="C6" i="13" s="1"/>
  <c r="G649" i="1"/>
  <c r="J649" i="1" s="1"/>
  <c r="L544" i="1"/>
  <c r="L524" i="1"/>
  <c r="J338" i="1"/>
  <c r="J352" i="1" s="1"/>
  <c r="C124" i="2"/>
  <c r="C128" i="2" s="1"/>
  <c r="C122" i="2"/>
  <c r="C120" i="2"/>
  <c r="C111" i="2"/>
  <c r="C115" i="2" s="1"/>
  <c r="C56" i="2"/>
  <c r="F662" i="1"/>
  <c r="I662" i="1" s="1"/>
  <c r="C13" i="10"/>
  <c r="C16" i="13"/>
  <c r="L539" i="1"/>
  <c r="K352" i="1"/>
  <c r="C62" i="2"/>
  <c r="D15" i="13"/>
  <c r="C15" i="13" s="1"/>
  <c r="C29" i="10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C28" i="10" s="1"/>
  <c r="G635" i="1"/>
  <c r="J635" i="1" s="1"/>
  <c r="E33" i="13" l="1"/>
  <c r="D35" i="13" s="1"/>
  <c r="D31" i="13"/>
  <c r="C31" i="13" s="1"/>
  <c r="F104" i="2"/>
  <c r="I660" i="1"/>
  <c r="I664" i="1" s="1"/>
  <c r="I672" i="1" s="1"/>
  <c r="C7" i="10" s="1"/>
  <c r="G672" i="1"/>
  <c r="C5" i="10" s="1"/>
  <c r="C63" i="2"/>
  <c r="C104" i="2" s="1"/>
  <c r="L545" i="1"/>
  <c r="I661" i="1"/>
  <c r="F664" i="1"/>
  <c r="L408" i="1"/>
  <c r="C145" i="2"/>
  <c r="F51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F672" i="1"/>
  <c r="C4" i="10" s="1"/>
  <c r="F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<sst xmlns="http://schemas.openxmlformats.org/spreadsheetml/2006/main" count="3957" uniqueCount="913">
  <si>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</si>
  <si>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</si>
  <si>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</si>
  <si>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</si>
  <si>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</si>
  <si>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</si>
  <si>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</si>
  <si>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</si>
  <si>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</si>
  <si>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</si>
  <si>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</si>
  <si>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</si>
  <si>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</si>
  <si>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</si>
  <si>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</si>
  <si>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</si>
  <si>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</si>
  <si>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</si>
  <si>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</si>
  <si>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</si>
  <si>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</si>
  <si>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</si>
  <si>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</si>
  <si>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</si>
  <si>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</si>
  <si>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</si>
  <si>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</si>
  <si>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</si>
  <si>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</si>
  <si>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</si>
  <si>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</si>
  <si>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</si>
  <si>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</si>
  <si>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</si>
  <si>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</si>
  <si>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</si>
  <si>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</si>
  <si>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</si>
  <si>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</si>
  <si>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</si>
  <si>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</si>
  <si>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</si>
  <si>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</si>
  <si>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</si>
  <si>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</si>
  <si>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</si>
  <si>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</si>
  <si>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</si>
  <si>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</si>
  <si>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</si>
  <si>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</si>
  <si>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</si>
  <si>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</si>
  <si>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</si>
  <si>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</si>
  <si>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</si>
  <si>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</si>
  <si>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</si>
  <si>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</si>
  <si>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</si>
  <si>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</si>
  <si>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</si>
  <si>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</si>
  <si>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</si>
  <si>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</si>
  <si>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</si>
  <si>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</si>
  <si>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</si>
  <si>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</si>
  <si>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</si>
  <si>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</si>
  <si>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</si>
  <si>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</si>
  <si>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</si>
  <si>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</si>
  <si>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</si>
  <si>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</si>
  <si>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</si>
  <si>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</si>
  <si>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</si>
  <si>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</si>
  <si>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</si>
  <si>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</si>
  <si>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</si>
  <si>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</si>
  <si>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</si>
  <si>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</si>
  <si>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</si>
  <si>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</si>
  <si>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</si>
  <si>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</si>
  <si>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</si>
  <si>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</si>
  <si>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</si>
  <si>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</si>
  <si>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</si>
  <si>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</si>
  <si>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</si>
  <si>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</si>
  <si>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</si>
  <si>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</si>
  <si>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</si>
  <si>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</si>
  <si>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</si>
  <si>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</si>
  <si>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</si>
  <si>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</si>
  <si>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</si>
  <si>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</si>
  <si>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</si>
  <si>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</si>
  <si>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</si>
  <si>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</si>
  <si>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</si>
  <si>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</si>
  <si>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</si>
  <si>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</si>
  <si>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</si>
  <si>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</si>
  <si>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</si>
  <si>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</si>
  <si>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</si>
  <si>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</si>
  <si>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</si>
  <si>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</si>
  <si>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</si>
  <si>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</si>
  <si>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</si>
  <si>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</si>
  <si>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</si>
  <si>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</si>
  <si>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</si>
  <si>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</si>
  <si>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</si>
  <si>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</si>
  <si>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</si>
  <si>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</si>
  <si>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</si>
  <si>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</si>
  <si>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</si>
  <si>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</si>
  <si>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</si>
  <si>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</si>
  <si>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</si>
  <si>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</si>
  <si>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</si>
  <si>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</si>
  <si>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</si>
  <si>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</si>
  <si>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</si>
  <si>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</si>
  <si>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</si>
  <si>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</si>
  <si>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</si>
  <si>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</si>
  <si>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</si>
  <si>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</si>
  <si>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</si>
  <si>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</si>
  <si>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</si>
  <si>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</si>
  <si>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</si>
  <si>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</si>
  <si>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</si>
  <si>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</si>
  <si>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</si>
  <si>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</si>
  <si>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</si>
  <si>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</si>
  <si>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</si>
  <si>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</si>
  <si>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</si>
  <si>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</si>
  <si>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</si>
  <si>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</si>
  <si>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</si>
  <si>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</si>
  <si>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</si>
  <si>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</si>
  <si>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</si>
  <si>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</si>
  <si>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</si>
  <si>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</si>
  <si>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</si>
  <si>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</si>
  <si>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</si>
  <si>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</si>
  <si>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</si>
  <si>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</si>
  <si>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</si>
  <si>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</si>
  <si>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</si>
  <si>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</si>
  <si>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</si>
  <si>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</si>
  <si>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</si>
  <si>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</si>
  <si>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</si>
  <si>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</si>
  <si>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</si>
  <si>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</si>
  <si>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</si>
  <si>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</si>
  <si>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</si>
  <si>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</si>
  <si>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</si>
  <si>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</si>
  <si>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</si>
  <si>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</si>
  <si>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</si>
  <si>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</si>
  <si>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</si>
  <si>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</si>
  <si>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</si>
  <si>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</si>
  <si>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</si>
  <si>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</si>
  <si>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</si>
  <si>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</si>
  <si>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</si>
  <si>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</si>
  <si>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</si>
  <si>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</si>
  <si>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</si>
  <si>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</si>
  <si>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</si>
  <si>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</si>
  <si>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</si>
  <si>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</si>
  <si>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</si>
  <si>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</si>
  <si>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</si>
  <si>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</si>
  <si>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</si>
  <si>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</si>
  <si>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</si>
  <si>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</si>
  <si>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</si>
  <si>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</si>
  <si>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</si>
  <si>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</si>
  <si>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</si>
  <si>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</si>
  <si>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</si>
  <si>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</si>
  <si>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</si>
  <si>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</si>
  <si>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</si>
  <si>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</si>
  <si>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</si>
  <si>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</si>
  <si>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</si>
  <si>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</si>
  <si>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</si>
  <si>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</si>
  <si>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</si>
  <si>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</si>
  <si>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</si>
  <si>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</si>
  <si>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</si>
  <si>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</si>
  <si>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</si>
  <si>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</si>
  <si>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</si>
  <si>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</si>
  <si>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</si>
  <si>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</si>
  <si>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</si>
  <si>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</si>
  <si>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</si>
  <si>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</si>
  <si>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</si>
  <si>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</si>
  <si>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</si>
  <si>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</si>
  <si>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</si>
  <si>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</si>
  <si>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</si>
  <si>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</si>
  <si>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</si>
  <si>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</si>
  <si>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</si>
  <si>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</si>
  <si>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</si>
  <si>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</si>
  <si>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</si>
  <si>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</si>
  <si>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</si>
  <si>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</si>
  <si>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</si>
  <si>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</si>
  <si>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</si>
  <si>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</si>
  <si>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</si>
  <si>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</si>
  <si>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</si>
  <si>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</si>
  <si>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</si>
  <si>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</si>
  <si>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</si>
  <si>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</si>
  <si>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</si>
  <si>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</si>
  <si>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</si>
  <si>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</si>
  <si>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</si>
  <si>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</si>
  <si>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</si>
  <si>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</si>
  <si>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</si>
  <si>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</si>
  <si>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</si>
  <si>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</si>
  <si>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</si>
  <si>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</si>
  <si>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</si>
  <si>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</si>
  <si>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</si>
  <si>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</si>
  <si>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</si>
  <si>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</si>
  <si>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</si>
  <si>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</si>
  <si>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</si>
  <si>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</si>
  <si>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</si>
  <si>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</si>
  <si>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</si>
  <si>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</si>
  <si>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</si>
  <si>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</si>
  <si>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</si>
  <si>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</si>
  <si>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</si>
  <si>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</si>
  <si>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</si>
  <si>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</si>
  <si>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</si>
  <si>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</si>
  <si>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</si>
  <si>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</si>
  <si>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</si>
  <si>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</si>
  <si>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</si>
  <si>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</si>
  <si>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</si>
  <si>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</si>
  <si>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</si>
  <si>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</si>
  <si>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</si>
  <si>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</si>
  <si>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</si>
  <si>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</si>
  <si>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</si>
  <si>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</si>
  <si>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</si>
  <si>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</si>
  <si>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</si>
  <si>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</si>
  <si>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</si>
  <si>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</si>
  <si>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</si>
  <si>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</si>
  <si>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</si>
  <si>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</si>
  <si>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</si>
  <si>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</si>
  <si>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</si>
  <si>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</si>
  <si>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</si>
  <si>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</si>
  <si>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</si>
  <si>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</si>
  <si>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</si>
  <si>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</si>
  <si>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</si>
  <si>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</si>
  <si>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</si>
  <si>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</si>
  <si>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</si>
  <si>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</si>
  <si>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</si>
  <si>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</si>
  <si>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</si>
  <si>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</si>
  <si>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</si>
  <si>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</si>
  <si>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</si>
  <si>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</si>
  <si>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</si>
  <si>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</si>
  <si>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</si>
  <si>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</si>
  <si>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</si>
  <si>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</si>
  <si>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</si>
  <si>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</si>
  <si>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</si>
  <si>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</si>
  <si>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</si>
  <si>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</si>
  <si>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</si>
  <si>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</si>
  <si>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</si>
  <si>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</si>
  <si>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</si>
  <si>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</si>
  <si>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</si>
  <si>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</si>
  <si>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</si>
  <si>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</si>
  <si>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</si>
  <si>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</si>
  <si>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</si>
  <si>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</si>
  <si>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</si>
  <si>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</si>
  <si>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</si>
  <si>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</si>
  <si>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</si>
  <si>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</si>
  <si>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</si>
  <si>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</si>
  <si>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</si>
  <si>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</si>
  <si>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</si>
  <si>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</si>
  <si>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</si>
  <si>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</si>
  <si>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</si>
  <si>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</si>
  <si>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</si>
  <si>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</si>
  <si>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</si>
  <si>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</si>
  <si>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</si>
  <si>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</si>
  <si>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</si>
  <si>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</si>
  <si>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</si>
  <si>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</si>
  <si>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</si>
  <si>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</si>
  <si>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</si>
  <si>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</si>
  <si>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</si>
  <si>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</si>
  <si>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</si>
  <si>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</si>
  <si>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</si>
  <si>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</si>
  <si>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</si>
  <si>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</si>
  <si>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</si>
  <si>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</si>
  <si>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</si>
  <si>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</si>
  <si>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</si>
  <si>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</si>
  <si>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</si>
  <si>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</si>
  <si>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</si>
  <si>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</si>
  <si>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</si>
  <si>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</si>
  <si>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</si>
  <si>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</si>
  <si>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</si>
  <si>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</si>
  <si>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</si>
  <si>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</si>
  <si>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</si>
  <si>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</si>
  <si>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</si>
  <si>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</si>
  <si>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</si>
  <si>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</si>
  <si>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</si>
  <si>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</si>
  <si>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</si>
  <si>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</si>
  <si>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</si>
  <si>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</si>
  <si>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</si>
  <si>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</si>
  <si>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</si>
  <si>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</si>
  <si>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</si>
  <si>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</si>
  <si>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</si>
  <si>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</si>
  <si>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</si>
  <si>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</si>
  <si>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</si>
  <si>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</si>
  <si>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</si>
  <si>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</si>
  <si>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</si>
  <si>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</si>
  <si>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</si>
  <si>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</si>
  <si>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</si>
  <si>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</si>
  <si>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</si>
  <si>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</si>
  <si>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</si>
  <si>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</si>
  <si>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</si>
  <si>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</si>
  <si>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</si>
  <si>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</si>
  <si>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</si>
  <si>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</si>
  <si>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</si>
  <si>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</si>
  <si>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</si>
  <si>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</si>
  <si>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</si>
  <si>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</si>
  <si>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</si>
  <si>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</si>
  <si>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</si>
  <si>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</si>
  <si>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</si>
  <si>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</si>
  <si>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</si>
  <si>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</si>
  <si>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</si>
  <si>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</si>
  <si>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</si>
  <si>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</si>
  <si>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</si>
  <si>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</si>
  <si>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</si>
  <si>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</si>
  <si>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</si>
  <si>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</si>
  <si>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</si>
  <si>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</si>
  <si>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</si>
  <si>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</si>
  <si>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</si>
  <si>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</si>
  <si>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</si>
  <si>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</si>
  <si>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</si>
  <si>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</si>
  <si>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</si>
  <si>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</si>
  <si>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</si>
  <si>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</si>
  <si>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</si>
  <si>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</si>
  <si>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</si>
  <si>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</si>
  <si>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</si>
  <si>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</si>
  <si>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</si>
  <si>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</si>
  <si>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</si>
  <si>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</si>
  <si>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</si>
  <si>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</si>
  <si>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</si>
  <si>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</si>
  <si>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</si>
  <si>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</si>
  <si>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</si>
  <si>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</si>
  <si>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</si>
  <si>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</si>
  <si>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</si>
  <si>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</si>
  <si>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</si>
  <si>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</si>
  <si>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</si>
  <si>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</si>
  <si>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</si>
  <si>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</si>
  <si>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</si>
  <si>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</si>
  <si>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</si>
  <si>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</si>
  <si>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</si>
  <si>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</si>
  <si>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</si>
  <si>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</si>
  <si>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</si>
  <si>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</si>
  <si>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</si>
  <si>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</si>
  <si>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</si>
  <si>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</si>
  <si>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</si>
  <si>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</si>
  <si>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</si>
  <si>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</si>
  <si>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</si>
  <si>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</si>
  <si>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</si>
  <si>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</si>
  <si>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</si>
  <si>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</si>
  <si>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</si>
  <si>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</si>
  <si>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</si>
  <si>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</si>
  <si>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</si>
  <si>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</si>
  <si>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</si>
  <si>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</si>
  <si>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</si>
  <si>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</si>
  <si>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</si>
  <si>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</si>
  <si>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</si>
  <si>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</si>
  <si>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</si>
  <si>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</si>
  <si>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</si>
  <si>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</si>
  <si>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</si>
  <si>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</si>
  <si>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</si>
  <si>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</si>
  <si>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</si>
  <si>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</si>
  <si>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</si>
  <si>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</si>
  <si>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</si>
  <si>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</si>
  <si>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</si>
  <si>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</si>
  <si>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</si>
  <si>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</si>
  <si>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</si>
  <si>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</si>
  <si>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</si>
  <si>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</si>
  <si>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</si>
  <si>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</si>
  <si>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</si>
  <si>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</si>
  <si>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</si>
  <si>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</si>
  <si>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</si>
  <si>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</si>
  <si>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</si>
  <si>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</si>
  <si>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</si>
  <si>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</si>
  <si>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</si>
  <si>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</si>
  <si>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</si>
  <si>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</si>
  <si>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</si>
  <si>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</si>
  <si>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</si>
  <si>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</si>
  <si>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</si>
  <si>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</si>
  <si>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</si>
  <si>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</si>
  <si>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</si>
  <si>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</si>
  <si>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</si>
  <si>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</si>
  <si>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</si>
  <si>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</si>
  <si>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</si>
  <si>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</si>
  <si>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</si>
  <si>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</si>
  <si>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</si>
  <si>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</si>
  <si>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</si>
  <si>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</si>
  <si>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</si>
  <si>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</si>
  <si>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</si>
  <si>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</si>
  <si>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</si>
  <si>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</si>
  <si>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</si>
  <si>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</si>
  <si>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</si>
  <si>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</si>
  <si>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</si>
  <si>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</si>
  <si>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</si>
  <si>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</si>
  <si>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</si>
  <si>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</si>
  <si>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</si>
  <si>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</si>
  <si>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</si>
  <si>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</si>
  <si>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</si>
  <si>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</si>
  <si>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</si>
  <si>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</si>
  <si>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</si>
  <si>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</si>
  <si>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</si>
  <si>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</si>
  <si>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</si>
  <si>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</si>
  <si>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</si>
  <si>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</si>
  <si>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</si>
  <si>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</si>
  <si>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</si>
  <si>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</si>
  <si>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</si>
  <si>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</si>
  <si>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</si>
  <si>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</si>
  <si>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</si>
  <si>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</si>
  <si>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</si>
  <si>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</si>
  <si>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</si>
  <si>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</si>
  <si>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</si>
  <si>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</si>
  <si>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</si>
  <si>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</si>
  <si>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</si>
  <si>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</si>
  <si>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</si>
  <si>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</si>
  <si>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</si>
  <si>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</si>
  <si>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</si>
  <si>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</si>
  <si>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</si>
  <si>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</si>
  <si>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</si>
  <si>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</si>
  <si>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</si>
  <si>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</si>
  <si>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</si>
  <si>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</si>
  <si>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</si>
  <si>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</si>
  <si>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</si>
  <si>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</si>
  <si>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</si>
  <si>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</si>
  <si>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</si>
  <si>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</si>
  <si>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</si>
  <si>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</si>
  <si>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</si>
  <si>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</si>
  <si>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</si>
  <si>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</si>
  <si>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</si>
  <si>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</si>
  <si>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</si>
  <si>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</si>
  <si>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</si>
  <si>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</si>
  <si>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</si>
  <si>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</si>
  <si>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</si>
  <si>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</si>
  <si>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</si>
  <si>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</si>
  <si>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</si>
  <si>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</si>
  <si>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</si>
  <si>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</si>
  <si>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</si>
  <si>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</si>
  <si>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</si>
  <si>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</si>
  <si>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</si>
  <si>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</si>
  <si>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</si>
  <si>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</si>
  <si>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</si>
  <si>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</si>
  <si>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</si>
  <si>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</si>
  <si>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</si>
  <si>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</si>
  <si>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</si>
  <si>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</si>
  <si>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</si>
  <si>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</si>
  <si>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</si>
  <si>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</si>
  <si>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</si>
  <si>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</si>
  <si>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</si>
  <si>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</si>
  <si>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</si>
  <si>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</si>
  <si>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</si>
  <si>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</si>
  <si>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</si>
  <si>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</si>
  <si>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</si>
  <si>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</si>
  <si>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</si>
  <si>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</si>
  <si>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</si>
  <si>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</si>
  <si>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</si>
  <si>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</si>
  <si>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</si>
  <si>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</si>
  <si>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</si>
  <si>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</si>
  <si>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</si>
  <si>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</si>
  <si>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</si>
  <si>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</si>
  <si>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</si>
  <si>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</si>
  <si>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</si>
  <si>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</si>
  <si>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</si>
  <si>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</si>
  <si>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</si>
  <si>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</si>
  <si>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</si>
  <si>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</si>
  <si>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</si>
  <si>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</si>
  <si>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</si>
  <si>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</si>
  <si>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</si>
  <si>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</si>
  <si>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</si>
  <si>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</si>
  <si>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</si>
  <si>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</si>
  <si>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</si>
  <si>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</si>
  <si>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</si>
  <si>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</si>
  <si>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</si>
  <si>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</si>
  <si>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</si>
  <si>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</si>
  <si>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</si>
  <si>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</si>
  <si>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</si>
  <si>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</si>
  <si>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</si>
  <si>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</si>
  <si>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</si>
  <si>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</si>
  <si>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</si>
  <si>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</si>
  <si>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</si>
  <si>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</si>
  <si>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</si>
  <si>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</si>
  <si>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</si>
  <si>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</si>
  <si>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</si>
  <si>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</si>
  <si>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</si>
  <si>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</si>
  <si>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</si>
  <si>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</si>
  <si>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</si>
  <si>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</si>
  <si>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</si>
  <si>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</si>
  <si>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</si>
  <si>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</si>
  <si>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</si>
  <si>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</si>
  <si>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</si>
  <si>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</si>
  <si>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</si>
  <si>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</si>
  <si>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</si>
  <si>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</si>
  <si>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</si>
  <si>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</si>
  <si>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</si>
  <si>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</si>
  <si>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</si>
  <si>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</si>
  <si>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</si>
  <si>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</si>
  <si>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</si>
  <si>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</si>
  <si>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</si>
  <si>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</si>
  <si>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</si>
  <si>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</si>
  <si>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</si>
  <si>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</si>
  <si>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</si>
  <si>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</si>
  <si>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</si>
  <si>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</si>
  <si>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</si>
  <si>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</si>
  <si>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</si>
  <si>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</si>
  <si>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</si>
  <si>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</si>
  <si>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</si>
  <si>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</si>
  <si>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</si>
  <si>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Goffstown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</si>
</sst>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4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199</v>
      </c>
      <c r="C2" s="21">
        <v>199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12768346.310000001</v>
      </c>
      <c r="G9" s="18">
        <v>56255.37</v>
      </c>
      <c r="H9" s="18">
        <v>0</v>
      </c>
      <c r="I9" s="18">
        <v>473066.46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786996.81</v>
      </c>
      <c r="G12" s="18">
        <v>28256.7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461515.76</v>
      </c>
      <c r="G13" s="18">
        <v>54033.64</v>
      </c>
      <c r="H13" s="18">
        <v>870314.45</v>
      </c>
      <c r="I13" s="18"/>
      <c r="J13" s="67">
        <f>SUM(I442)</f>
        <v>7577.44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19039.849999999999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26833.89</v>
      </c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76571.5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14139304.120000001</v>
      </c>
      <c r="G19" s="41">
        <f>SUM(G9:G18)</f>
        <v>138545.71000000002</v>
      </c>
      <c r="H19" s="41">
        <f>SUM(H9:H18)</f>
        <v>870314.45</v>
      </c>
      <c r="I19" s="41">
        <f>SUM(I9:I18)</f>
        <v>473066.46</v>
      </c>
      <c r="J19" s="41">
        <f>SUM(J9:J18)</f>
        <v>7577.44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28256.7</v>
      </c>
      <c r="G22" s="18"/>
      <c r="H22" s="18">
        <v>786996.81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41258.67</v>
      </c>
      <c r="G23" s="18"/>
      <c r="H23" s="18">
        <v>4107.17</v>
      </c>
      <c r="I23" s="18">
        <v>43689.45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412159.27</v>
      </c>
      <c r="G24" s="18">
        <v>24383.86</v>
      </c>
      <c r="H24" s="18">
        <v>30178.870000000003</v>
      </c>
      <c r="I24" s="18">
        <v>3255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>
        <v>7302.7</v>
      </c>
      <c r="H25" s="18"/>
      <c r="I25" s="18">
        <v>21231.599999999999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173272.19</v>
      </c>
      <c r="G28" s="18"/>
      <c r="H28" s="18">
        <v>38065.86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706689.46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8600</v>
      </c>
      <c r="G30" s="18"/>
      <c r="H30" s="18">
        <v>10965.74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1903.89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1372140.18</v>
      </c>
      <c r="G32" s="41">
        <f>SUM(G22:G31)</f>
        <v>31686.560000000001</v>
      </c>
      <c r="H32" s="41">
        <f>SUM(H22:H31)</f>
        <v>870314.45000000007</v>
      </c>
      <c r="I32" s="41">
        <f>SUM(I22:I31)</f>
        <v>68176.049999999988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26833.89</v>
      </c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76571.5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106859.15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1171716.24</v>
      </c>
      <c r="G45" s="18"/>
      <c r="H45" s="18">
        <v>209846.12</v>
      </c>
      <c r="I45" s="18">
        <v>146065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615131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-209846.12</v>
      </c>
      <c r="I48" s="18">
        <v>258825.41</v>
      </c>
      <c r="J48" s="13">
        <f>SUM(I459)</f>
        <v>7577.44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10876911.310000001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12767163.940000001</v>
      </c>
      <c r="G51" s="41">
        <f>SUM(G35:G50)</f>
        <v>106859.15</v>
      </c>
      <c r="H51" s="41">
        <f>SUM(H35:H50)</f>
        <v>0</v>
      </c>
      <c r="I51" s="41">
        <f>SUM(I35:I50)</f>
        <v>404890.41000000003</v>
      </c>
      <c r="J51" s="41">
        <f>SUM(J35:J50)</f>
        <v>7577.44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14139304.120000001</v>
      </c>
      <c r="G52" s="41">
        <f>G51+G32</f>
        <v>138545.71</v>
      </c>
      <c r="H52" s="41">
        <f>H51+H32</f>
        <v>870314.45000000007</v>
      </c>
      <c r="I52" s="41">
        <f>I51+I32</f>
        <v>473066.46</v>
      </c>
      <c r="J52" s="41">
        <f>J51+J32</f>
        <v>7577.44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21337757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21337757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45075.68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24440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7148111.2599999998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298075.13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7515702.0699999994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44424.58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695162.10000000009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>
        <v>41261.22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6529.07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16638.27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>
        <v>0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48585.16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99538.81</v>
      </c>
      <c r="G111" s="41">
        <f>SUM(G96:G110)</f>
        <v>695162.10000000009</v>
      </c>
      <c r="H111" s="41">
        <f>SUM(H96:H110)</f>
        <v>57899.490000000005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28952997.879999999</v>
      </c>
      <c r="G112" s="41">
        <f>G60+G111</f>
        <v>695162.10000000009</v>
      </c>
      <c r="H112" s="41">
        <f>H60+H79+H94+H111</f>
        <v>57899.490000000005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6951957.8499999996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3267493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28614.36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10248065.209999999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282695.82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346827.15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23344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52775.09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13628.85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161424.45000000001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652866.97</v>
      </c>
      <c r="G136" s="41">
        <f>SUM(G123:G135)</f>
        <v>13628.85</v>
      </c>
      <c r="H136" s="41">
        <f>SUM(H123:H135)</f>
        <v>214199.54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10900932.18</v>
      </c>
      <c r="G140" s="41">
        <f>G121+SUM(G136:G137)</f>
        <v>13628.85</v>
      </c>
      <c r="H140" s="41">
        <f>H121+SUM(H136:H139)</f>
        <v>214199.54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331074.07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756238.79000000015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262115.72999999998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311974.52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311974.52</v>
      </c>
      <c r="G162" s="41">
        <f>SUM(G150:G161)</f>
        <v>262115.72999999998</v>
      </c>
      <c r="H162" s="41">
        <f>SUM(H150:H161)</f>
        <v>1087312.8600000001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>
        <v>63760.380000000005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311974.52</v>
      </c>
      <c r="G169" s="41">
        <f>G147+G162+SUM(G163:G168)</f>
        <v>325876.11</v>
      </c>
      <c r="H169" s="41">
        <f>H147+H162+SUM(H163:H168)</f>
        <v>1087312.8600000001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421.64</v>
      </c>
      <c r="H179" s="18"/>
      <c r="I179" s="18">
        <v>145340</v>
      </c>
      <c r="J179" s="18">
        <v>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126348.73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126348.73</v>
      </c>
      <c r="G183" s="41">
        <f>SUM(G179:G182)</f>
        <v>421.64</v>
      </c>
      <c r="H183" s="41">
        <f>SUM(H179:H182)</f>
        <v>0</v>
      </c>
      <c r="I183" s="41">
        <f>SUM(I179:I182)</f>
        <v>145340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126348.73</v>
      </c>
      <c r="G192" s="41">
        <f>G183+SUM(G188:G191)</f>
        <v>421.64</v>
      </c>
      <c r="H192" s="41">
        <f>+H183+SUM(H188:H191)</f>
        <v>0</v>
      </c>
      <c r="I192" s="41">
        <f>I177+I183+SUM(I188:I191)</f>
        <v>145340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40292253.310000002</v>
      </c>
      <c r="G193" s="47">
        <f>G112+G140+G169+G192</f>
        <v>1035088.7000000001</v>
      </c>
      <c r="H193" s="47">
        <f>H112+H140+H169+H192</f>
        <v>1359411.8900000001</v>
      </c>
      <c r="I193" s="47">
        <f>I112+I140+I169+I192</f>
        <v>145340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2633305.54</v>
      </c>
      <c r="G197" s="18">
        <v>1189692.81</v>
      </c>
      <c r="H197" s="18">
        <v>104623.18</v>
      </c>
      <c r="I197" s="18">
        <v>166991.25</v>
      </c>
      <c r="J197" s="18">
        <v>24619.15</v>
      </c>
      <c r="K197" s="18">
        <v>0</v>
      </c>
      <c r="L197" s="19">
        <f>SUM(F197:K197)</f>
        <v>4119231.93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1523306.1800000002</v>
      </c>
      <c r="G198" s="18">
        <v>702195.27999999991</v>
      </c>
      <c r="H198" s="18">
        <v>480636.53</v>
      </c>
      <c r="I198" s="18">
        <v>14148.229999999998</v>
      </c>
      <c r="J198" s="18">
        <v>8641.6099999999988</v>
      </c>
      <c r="K198" s="18">
        <v>0</v>
      </c>
      <c r="L198" s="19">
        <f>SUM(F198:K198)</f>
        <v>2728927.83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24518.75</v>
      </c>
      <c r="G200" s="18">
        <v>5985.8200000000006</v>
      </c>
      <c r="H200" s="18">
        <v>1350</v>
      </c>
      <c r="I200" s="18">
        <v>1449.7</v>
      </c>
      <c r="J200" s="18">
        <v>0</v>
      </c>
      <c r="K200" s="18">
        <v>0</v>
      </c>
      <c r="L200" s="19">
        <f>SUM(F200:K200)</f>
        <v>33304.269999999997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366199.77</v>
      </c>
      <c r="G202" s="18">
        <v>195250</v>
      </c>
      <c r="H202" s="18">
        <v>5505.29</v>
      </c>
      <c r="I202" s="18">
        <v>20761.12</v>
      </c>
      <c r="J202" s="18">
        <v>0</v>
      </c>
      <c r="K202" s="18">
        <v>0</v>
      </c>
      <c r="L202" s="19">
        <f t="shared" ref="L202:L208" si="0">SUM(F202:K202)</f>
        <v>587716.18000000005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208715.88</v>
      </c>
      <c r="G203" s="18">
        <v>80656.290000000008</v>
      </c>
      <c r="H203" s="18">
        <v>9946.91</v>
      </c>
      <c r="I203" s="18">
        <v>23512.090000000004</v>
      </c>
      <c r="J203" s="18">
        <v>465.83</v>
      </c>
      <c r="K203" s="18">
        <v>0</v>
      </c>
      <c r="L203" s="19">
        <f t="shared" si="0"/>
        <v>323297.00000000006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7798.34</v>
      </c>
      <c r="G204" s="18">
        <v>681.3</v>
      </c>
      <c r="H204" s="18">
        <v>501945.19</v>
      </c>
      <c r="I204" s="18">
        <v>2513.2600000000002</v>
      </c>
      <c r="J204" s="18">
        <v>0</v>
      </c>
      <c r="K204" s="18">
        <v>1795.2299999999998</v>
      </c>
      <c r="L204" s="19">
        <f t="shared" si="0"/>
        <v>514733.32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503723.6</v>
      </c>
      <c r="G205" s="18">
        <v>281977.7900000001</v>
      </c>
      <c r="H205" s="18">
        <v>30461.839999999997</v>
      </c>
      <c r="I205" s="18">
        <v>2788.02</v>
      </c>
      <c r="J205" s="18">
        <v>0</v>
      </c>
      <c r="K205" s="18">
        <v>5584.75</v>
      </c>
      <c r="L205" s="19">
        <f t="shared" si="0"/>
        <v>824536.00000000012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274982.46999999997</v>
      </c>
      <c r="G207" s="18">
        <v>95981.900000000009</v>
      </c>
      <c r="H207" s="18">
        <v>429588.83999999997</v>
      </c>
      <c r="I207" s="18">
        <v>150617.52999999997</v>
      </c>
      <c r="J207" s="18">
        <v>92257.790000000037</v>
      </c>
      <c r="K207" s="18"/>
      <c r="L207" s="19">
        <f t="shared" si="0"/>
        <v>1043428.53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/>
      <c r="H208" s="18">
        <v>530005.51</v>
      </c>
      <c r="I208" s="18">
        <v>0</v>
      </c>
      <c r="J208" s="18">
        <v>0</v>
      </c>
      <c r="K208" s="18"/>
      <c r="L208" s="19">
        <f t="shared" si="0"/>
        <v>530005.51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2535.2600000000002</v>
      </c>
      <c r="H209" s="18">
        <v>0</v>
      </c>
      <c r="I209" s="18">
        <v>0</v>
      </c>
      <c r="J209" s="18">
        <v>0</v>
      </c>
      <c r="K209" s="18"/>
      <c r="L209" s="19">
        <f>SUM(F209:K209)</f>
        <v>2535.2600000000002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5542550.5299999993</v>
      </c>
      <c r="G211" s="41">
        <f t="shared" si="1"/>
        <v>2554956.4499999993</v>
      </c>
      <c r="H211" s="41">
        <f t="shared" si="1"/>
        <v>2094063.2900000003</v>
      </c>
      <c r="I211" s="41">
        <f t="shared" si="1"/>
        <v>382781.19999999995</v>
      </c>
      <c r="J211" s="41">
        <f t="shared" si="1"/>
        <v>125984.38000000003</v>
      </c>
      <c r="K211" s="41">
        <f t="shared" si="1"/>
        <v>7379.98</v>
      </c>
      <c r="L211" s="41">
        <f t="shared" si="1"/>
        <v>10707715.829999998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3327306.7</v>
      </c>
      <c r="G215" s="18">
        <v>1508570.4000000004</v>
      </c>
      <c r="H215" s="18">
        <v>102430.48</v>
      </c>
      <c r="I215" s="18">
        <v>242134.05000000002</v>
      </c>
      <c r="J215" s="18">
        <v>42397.15</v>
      </c>
      <c r="K215" s="18">
        <v>813</v>
      </c>
      <c r="L215" s="19">
        <f>SUM(F215:K215)</f>
        <v>5223651.7800000012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1394907.2100000002</v>
      </c>
      <c r="G216" s="18">
        <v>658686.56999999983</v>
      </c>
      <c r="H216" s="18">
        <v>404153.72999999992</v>
      </c>
      <c r="I216" s="18">
        <v>19632.12</v>
      </c>
      <c r="J216" s="18">
        <v>8462.85</v>
      </c>
      <c r="K216" s="18">
        <v>605</v>
      </c>
      <c r="L216" s="19">
        <f>SUM(F216:K216)</f>
        <v>2486447.48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95843.32</v>
      </c>
      <c r="G218" s="18">
        <v>28474.809999999998</v>
      </c>
      <c r="H218" s="18">
        <v>19307</v>
      </c>
      <c r="I218" s="18">
        <v>2757.28</v>
      </c>
      <c r="J218" s="18">
        <v>56088.170000000006</v>
      </c>
      <c r="K218" s="18">
        <v>4056.14</v>
      </c>
      <c r="L218" s="19">
        <f>SUM(F218:K218)</f>
        <v>206526.72000000003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301139.26</v>
      </c>
      <c r="G220" s="18">
        <v>119173.69</v>
      </c>
      <c r="H220" s="18">
        <v>5496.83</v>
      </c>
      <c r="I220" s="18">
        <v>9452.6500000000015</v>
      </c>
      <c r="J220" s="18">
        <v>0</v>
      </c>
      <c r="K220" s="18">
        <v>0</v>
      </c>
      <c r="L220" s="19">
        <f t="shared" ref="L220:L226" si="2">SUM(F220:K220)</f>
        <v>435262.43000000005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131601.94</v>
      </c>
      <c r="G221" s="18">
        <v>47754.47</v>
      </c>
      <c r="H221" s="18">
        <v>10039.879999999999</v>
      </c>
      <c r="I221" s="18">
        <v>32225.010000000002</v>
      </c>
      <c r="J221" s="18">
        <v>1995</v>
      </c>
      <c r="K221" s="18">
        <v>0</v>
      </c>
      <c r="L221" s="19">
        <f t="shared" si="2"/>
        <v>223616.30000000002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7574.0899999999992</v>
      </c>
      <c r="G222" s="18">
        <v>661.69999999999993</v>
      </c>
      <c r="H222" s="18">
        <v>487511.21</v>
      </c>
      <c r="I222" s="18">
        <v>2440.9899999999998</v>
      </c>
      <c r="J222" s="18">
        <v>0</v>
      </c>
      <c r="K222" s="18">
        <v>1743.6100000000001</v>
      </c>
      <c r="L222" s="19">
        <f t="shared" si="2"/>
        <v>499931.6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463165.88</v>
      </c>
      <c r="G223" s="18">
        <v>240134.76</v>
      </c>
      <c r="H223" s="18">
        <v>22990.170000000002</v>
      </c>
      <c r="I223" s="18">
        <v>945.73</v>
      </c>
      <c r="J223" s="18">
        <v>0</v>
      </c>
      <c r="K223" s="18">
        <v>10083.15</v>
      </c>
      <c r="L223" s="19">
        <f t="shared" si="2"/>
        <v>737319.69000000006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315911.06</v>
      </c>
      <c r="G225" s="18">
        <v>144660.51</v>
      </c>
      <c r="H225" s="18">
        <v>406215.45</v>
      </c>
      <c r="I225" s="18">
        <v>161673.29999999999</v>
      </c>
      <c r="J225" s="18">
        <v>41512.410000000003</v>
      </c>
      <c r="K225" s="18"/>
      <c r="L225" s="19">
        <f t="shared" si="2"/>
        <v>1069972.73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/>
      <c r="H226" s="18">
        <v>539609.73</v>
      </c>
      <c r="I226" s="18">
        <v>0</v>
      </c>
      <c r="J226" s="18">
        <v>0</v>
      </c>
      <c r="K226" s="18"/>
      <c r="L226" s="19">
        <f t="shared" si="2"/>
        <v>539609.73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2462.3599999999997</v>
      </c>
      <c r="H227" s="18">
        <v>1640</v>
      </c>
      <c r="I227" s="18">
        <v>0</v>
      </c>
      <c r="J227" s="18">
        <v>0</v>
      </c>
      <c r="K227" s="18"/>
      <c r="L227" s="19">
        <f>SUM(F227:K227)</f>
        <v>4102.3599999999997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6037449.46</v>
      </c>
      <c r="G229" s="41">
        <f>SUM(G215:G228)</f>
        <v>2750579.27</v>
      </c>
      <c r="H229" s="41">
        <f>SUM(H215:H228)</f>
        <v>1999394.4799999997</v>
      </c>
      <c r="I229" s="41">
        <f>SUM(I215:I228)</f>
        <v>471261.13</v>
      </c>
      <c r="J229" s="41">
        <f>SUM(J215:J228)</f>
        <v>150455.58000000002</v>
      </c>
      <c r="K229" s="41">
        <f t="shared" si="3"/>
        <v>17300.900000000001</v>
      </c>
      <c r="L229" s="41">
        <f t="shared" si="3"/>
        <v>11426440.82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4532015.37</v>
      </c>
      <c r="G233" s="18">
        <v>2059798.5199999998</v>
      </c>
      <c r="H233" s="18">
        <v>137044.46999999997</v>
      </c>
      <c r="I233" s="18">
        <v>268958.69999999995</v>
      </c>
      <c r="J233" s="18">
        <v>110775.33</v>
      </c>
      <c r="K233" s="18">
        <v>1661.8300000000002</v>
      </c>
      <c r="L233" s="19">
        <f>SUM(F233:K233)</f>
        <v>7110254.2199999997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1605751.13</v>
      </c>
      <c r="G234" s="18">
        <v>813789.72</v>
      </c>
      <c r="H234" s="18">
        <v>458034.16</v>
      </c>
      <c r="I234" s="18">
        <v>18712.189999999995</v>
      </c>
      <c r="J234" s="18">
        <v>3046.54</v>
      </c>
      <c r="K234" s="18">
        <v>0</v>
      </c>
      <c r="L234" s="19">
        <f>SUM(F234:K234)</f>
        <v>2899333.7399999998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124682.92</v>
      </c>
      <c r="I235" s="18">
        <v>0</v>
      </c>
      <c r="J235" s="18">
        <v>0</v>
      </c>
      <c r="K235" s="18">
        <v>0</v>
      </c>
      <c r="L235" s="19">
        <f>SUM(F235:K235)</f>
        <v>124682.92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353629.79</v>
      </c>
      <c r="G236" s="18">
        <v>94845.37</v>
      </c>
      <c r="H236" s="18">
        <v>154571.34999999998</v>
      </c>
      <c r="I236" s="18">
        <v>37852.1</v>
      </c>
      <c r="J236" s="18">
        <v>7271.39</v>
      </c>
      <c r="K236" s="18">
        <v>19379.919999999998</v>
      </c>
      <c r="L236" s="19">
        <f>SUM(F236:K236)</f>
        <v>667549.92000000004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670782.65</v>
      </c>
      <c r="G238" s="18">
        <v>312762.96999999997</v>
      </c>
      <c r="H238" s="18">
        <v>6677.16</v>
      </c>
      <c r="I238" s="18">
        <v>38518.449999999997</v>
      </c>
      <c r="J238" s="18">
        <v>0</v>
      </c>
      <c r="K238" s="18">
        <v>906.72</v>
      </c>
      <c r="L238" s="19">
        <f t="shared" ref="L238:L244" si="4">SUM(F238:K238)</f>
        <v>1029647.95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157936.60999999999</v>
      </c>
      <c r="G239" s="18">
        <v>65243.399999999994</v>
      </c>
      <c r="H239" s="18">
        <v>12530.86</v>
      </c>
      <c r="I239" s="18">
        <v>55478.200000000004</v>
      </c>
      <c r="J239" s="18">
        <v>364.13</v>
      </c>
      <c r="K239" s="18">
        <v>0</v>
      </c>
      <c r="L239" s="19">
        <f t="shared" si="4"/>
        <v>291553.2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9824.15</v>
      </c>
      <c r="G240" s="18">
        <v>858.2700000000001</v>
      </c>
      <c r="H240" s="18">
        <v>632337.4</v>
      </c>
      <c r="I240" s="18">
        <v>3166.14</v>
      </c>
      <c r="J240" s="18">
        <v>0</v>
      </c>
      <c r="K240" s="18">
        <v>2261.5899999999997</v>
      </c>
      <c r="L240" s="19">
        <f t="shared" si="4"/>
        <v>648447.55000000005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489935.14</v>
      </c>
      <c r="G241" s="18">
        <v>285495.56000000006</v>
      </c>
      <c r="H241" s="18">
        <v>43867.05</v>
      </c>
      <c r="I241" s="18">
        <v>6427.97</v>
      </c>
      <c r="J241" s="18">
        <v>0</v>
      </c>
      <c r="K241" s="18">
        <v>18895.77</v>
      </c>
      <c r="L241" s="19">
        <f t="shared" si="4"/>
        <v>844621.49000000011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373625.94</v>
      </c>
      <c r="G243" s="18">
        <v>192628.99</v>
      </c>
      <c r="H243" s="18">
        <v>447565.94</v>
      </c>
      <c r="I243" s="18">
        <v>284667.56</v>
      </c>
      <c r="J243" s="18">
        <v>56751.94</v>
      </c>
      <c r="K243" s="18"/>
      <c r="L243" s="19">
        <f t="shared" si="4"/>
        <v>1355240.3699999999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/>
      <c r="H244" s="18">
        <v>782752.6399999999</v>
      </c>
      <c r="I244" s="18">
        <v>0</v>
      </c>
      <c r="J244" s="18">
        <v>0</v>
      </c>
      <c r="K244" s="18"/>
      <c r="L244" s="19">
        <f t="shared" si="4"/>
        <v>782752.6399999999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3193.86</v>
      </c>
      <c r="H245" s="18">
        <v>29736.720000000001</v>
      </c>
      <c r="I245" s="18">
        <v>0</v>
      </c>
      <c r="J245" s="18">
        <v>0</v>
      </c>
      <c r="K245" s="18"/>
      <c r="L245" s="19">
        <f>SUM(F245:K245)</f>
        <v>32930.58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8193500.7800000012</v>
      </c>
      <c r="G247" s="41">
        <f t="shared" si="5"/>
        <v>3828616.6599999997</v>
      </c>
      <c r="H247" s="41">
        <f t="shared" si="5"/>
        <v>2829800.67</v>
      </c>
      <c r="I247" s="41">
        <f t="shared" si="5"/>
        <v>713781.30999999994</v>
      </c>
      <c r="J247" s="41">
        <f t="shared" si="5"/>
        <v>178209.33000000002</v>
      </c>
      <c r="K247" s="41">
        <f t="shared" si="5"/>
        <v>43105.83</v>
      </c>
      <c r="L247" s="41">
        <f t="shared" si="5"/>
        <v>15787014.579999998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849</v>
      </c>
      <c r="I255" s="18"/>
      <c r="J255" s="18"/>
      <c r="K255" s="18"/>
      <c r="L255" s="19">
        <f t="shared" si="6"/>
        <v>849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849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19773500.77</v>
      </c>
      <c r="G257" s="41">
        <f t="shared" si="8"/>
        <v>9134152.379999999</v>
      </c>
      <c r="H257" s="41">
        <f t="shared" si="8"/>
        <v>6924107.4399999995</v>
      </c>
      <c r="I257" s="41">
        <f t="shared" si="8"/>
        <v>1567823.64</v>
      </c>
      <c r="J257" s="41">
        <f t="shared" si="8"/>
        <v>454649.2900000001</v>
      </c>
      <c r="K257" s="41">
        <f t="shared" si="8"/>
        <v>67786.710000000006</v>
      </c>
      <c r="L257" s="41">
        <f t="shared" si="8"/>
        <v>37922020.229999997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590000</v>
      </c>
      <c r="L260" s="19">
        <f>SUM(F260:K260)</f>
        <v>590000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101462.5</v>
      </c>
      <c r="L261" s="19">
        <f>SUM(F261:K261)</f>
        <v>101462.5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421.64</v>
      </c>
      <c r="L263" s="19">
        <f>SUM(F263:K263)</f>
        <v>421.64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145340</v>
      </c>
      <c r="L265" s="19">
        <f t="shared" si="9"/>
        <v>145340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837224.14</v>
      </c>
      <c r="L270" s="41">
        <f t="shared" si="9"/>
        <v>837224.14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19773500.77</v>
      </c>
      <c r="G271" s="42">
        <f t="shared" si="11"/>
        <v>9134152.379999999</v>
      </c>
      <c r="H271" s="42">
        <f t="shared" si="11"/>
        <v>6924107.4399999995</v>
      </c>
      <c r="I271" s="42">
        <f t="shared" si="11"/>
        <v>1567823.64</v>
      </c>
      <c r="J271" s="42">
        <f t="shared" si="11"/>
        <v>454649.2900000001</v>
      </c>
      <c r="K271" s="42">
        <f t="shared" si="11"/>
        <v>905010.85</v>
      </c>
      <c r="L271" s="42">
        <f t="shared" si="11"/>
        <v>38759244.369999997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183305.17</v>
      </c>
      <c r="G276" s="18">
        <v>70251.850000000006</v>
      </c>
      <c r="H276" s="18">
        <v>1860.3600000000001</v>
      </c>
      <c r="I276" s="18">
        <v>7457.81</v>
      </c>
      <c r="J276" s="18">
        <v>16048.26</v>
      </c>
      <c r="K276" s="18"/>
      <c r="L276" s="19">
        <f>SUM(F276:K276)</f>
        <v>278923.45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97783.1</v>
      </c>
      <c r="G277" s="18">
        <v>38156.74</v>
      </c>
      <c r="H277" s="18"/>
      <c r="I277" s="18"/>
      <c r="J277" s="18"/>
      <c r="K277" s="18"/>
      <c r="L277" s="19">
        <f>SUM(F277:K277)</f>
        <v>135939.84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/>
      <c r="H281" s="18"/>
      <c r="I281" s="18">
        <v>93.81</v>
      </c>
      <c r="J281" s="18"/>
      <c r="K281" s="18"/>
      <c r="L281" s="19">
        <f t="shared" ref="L281:L287" si="12">SUM(F281:K281)</f>
        <v>93.81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30227.240000000005</v>
      </c>
      <c r="G282" s="18">
        <v>6551.9200000000019</v>
      </c>
      <c r="H282" s="18">
        <v>11495.6</v>
      </c>
      <c r="I282" s="18">
        <v>2342.4300000000003</v>
      </c>
      <c r="J282" s="18"/>
      <c r="K282" s="18"/>
      <c r="L282" s="19">
        <f t="shared" si="12"/>
        <v>50617.19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3095.15</v>
      </c>
      <c r="L285" s="19">
        <f t="shared" si="12"/>
        <v>3095.15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3929</v>
      </c>
      <c r="I286" s="18"/>
      <c r="J286" s="18">
        <v>52968.21</v>
      </c>
      <c r="K286" s="18"/>
      <c r="L286" s="19">
        <f t="shared" si="12"/>
        <v>56897.21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311315.51</v>
      </c>
      <c r="G290" s="42">
        <f t="shared" si="13"/>
        <v>114960.51</v>
      </c>
      <c r="H290" s="42">
        <f t="shared" si="13"/>
        <v>17284.96</v>
      </c>
      <c r="I290" s="42">
        <f t="shared" si="13"/>
        <v>9894.0500000000011</v>
      </c>
      <c r="J290" s="42">
        <f t="shared" si="13"/>
        <v>69016.47</v>
      </c>
      <c r="K290" s="42">
        <f t="shared" si="13"/>
        <v>3095.15</v>
      </c>
      <c r="L290" s="41">
        <f t="shared" si="13"/>
        <v>525566.65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275">
        <v>31661.200000000001</v>
      </c>
      <c r="G295" s="18">
        <v>2689.7200000000003</v>
      </c>
      <c r="H295" s="18"/>
      <c r="I295" s="275">
        <v>1774.1</v>
      </c>
      <c r="J295" s="18">
        <v>14863.1</v>
      </c>
      <c r="K295" s="18"/>
      <c r="L295" s="19">
        <f>SUM(F295:K295)</f>
        <v>50988.119999999995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206917.38000000003</v>
      </c>
      <c r="G296" s="18">
        <v>103048.98999999999</v>
      </c>
      <c r="H296" s="18"/>
      <c r="I296" s="18"/>
      <c r="J296" s="18"/>
      <c r="K296" s="18"/>
      <c r="L296" s="19">
        <f>SUM(F296:K296)</f>
        <v>309966.37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22709.589999999997</v>
      </c>
      <c r="G301" s="18">
        <v>5235.6899999999996</v>
      </c>
      <c r="H301" s="18">
        <v>9139.23</v>
      </c>
      <c r="I301" s="18">
        <v>2275.0699999999997</v>
      </c>
      <c r="J301" s="18"/>
      <c r="K301" s="18"/>
      <c r="L301" s="19">
        <f t="shared" si="14"/>
        <v>39359.579999999994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>
        <v>23812</v>
      </c>
      <c r="I305" s="18"/>
      <c r="J305" s="18">
        <v>35791.300000000003</v>
      </c>
      <c r="K305" s="18"/>
      <c r="L305" s="19">
        <f t="shared" si="14"/>
        <v>59603.3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261288.17000000004</v>
      </c>
      <c r="G309" s="42">
        <f t="shared" si="15"/>
        <v>110974.39999999999</v>
      </c>
      <c r="H309" s="42">
        <f t="shared" si="15"/>
        <v>32951.229999999996</v>
      </c>
      <c r="I309" s="42">
        <f t="shared" si="15"/>
        <v>4049.1699999999996</v>
      </c>
      <c r="J309" s="42">
        <f t="shared" si="15"/>
        <v>50654.400000000001</v>
      </c>
      <c r="K309" s="42">
        <f t="shared" si="15"/>
        <v>0</v>
      </c>
      <c r="L309" s="41">
        <f t="shared" si="15"/>
        <v>459917.37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940.63</v>
      </c>
      <c r="G314" s="18">
        <v>227.58999999999997</v>
      </c>
      <c r="H314" s="18"/>
      <c r="I314" s="18">
        <v>467.88</v>
      </c>
      <c r="J314" s="145">
        <v>15998.77</v>
      </c>
      <c r="K314" s="18"/>
      <c r="L314" s="19">
        <f>SUM(F314:K314)</f>
        <v>17634.87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96072.85</v>
      </c>
      <c r="G315" s="18">
        <v>41188.249999999993</v>
      </c>
      <c r="H315" s="18"/>
      <c r="I315" s="18"/>
      <c r="J315" s="18"/>
      <c r="K315" s="18"/>
      <c r="L315" s="19">
        <f>SUM(F315:K315)</f>
        <v>137261.1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12491.34</v>
      </c>
      <c r="G317" s="18">
        <v>1824.65</v>
      </c>
      <c r="H317" s="18"/>
      <c r="I317" s="18"/>
      <c r="J317" s="18"/>
      <c r="K317" s="18"/>
      <c r="L317" s="19">
        <f>SUM(F317:K317)</f>
        <v>14315.99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3300</v>
      </c>
      <c r="G319" s="18">
        <v>780.18000000000006</v>
      </c>
      <c r="H319" s="18">
        <v>2175.2600000000002</v>
      </c>
      <c r="I319" s="18"/>
      <c r="J319" s="18"/>
      <c r="K319" s="18"/>
      <c r="L319" s="19">
        <f t="shared" ref="L319:L325" si="16">SUM(F319:K319)</f>
        <v>6255.4400000000005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29456.010000000002</v>
      </c>
      <c r="G320" s="18">
        <v>6791.03</v>
      </c>
      <c r="H320" s="18">
        <v>11854.24</v>
      </c>
      <c r="I320" s="18">
        <v>2950.9399999999996</v>
      </c>
      <c r="J320" s="18"/>
      <c r="K320" s="18"/>
      <c r="L320" s="19">
        <f t="shared" si="16"/>
        <v>51052.22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v>368.21</v>
      </c>
      <c r="L323" s="19">
        <f t="shared" si="16"/>
        <v>368.21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>
        <v>1070.93</v>
      </c>
      <c r="I324" s="18"/>
      <c r="J324" s="145">
        <v>44923.93</v>
      </c>
      <c r="K324" s="18"/>
      <c r="L324" s="19">
        <f t="shared" si="16"/>
        <v>45994.86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142260.83000000002</v>
      </c>
      <c r="G328" s="42">
        <f t="shared" si="17"/>
        <v>50811.69999999999</v>
      </c>
      <c r="H328" s="42">
        <f t="shared" si="17"/>
        <v>15100.43</v>
      </c>
      <c r="I328" s="42">
        <f t="shared" si="17"/>
        <v>3418.8199999999997</v>
      </c>
      <c r="J328" s="42">
        <f t="shared" si="17"/>
        <v>60922.7</v>
      </c>
      <c r="K328" s="42">
        <f t="shared" si="17"/>
        <v>368.21</v>
      </c>
      <c r="L328" s="41">
        <f t="shared" si="17"/>
        <v>272882.69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4200</v>
      </c>
      <c r="G333" s="18">
        <v>1085.06</v>
      </c>
      <c r="H333" s="18">
        <v>4680</v>
      </c>
      <c r="I333" s="18">
        <v>32045.77</v>
      </c>
      <c r="J333" s="18">
        <v>17673.080000000002</v>
      </c>
      <c r="K333" s="18"/>
      <c r="L333" s="19">
        <f t="shared" si="18"/>
        <v>59683.91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33904</v>
      </c>
      <c r="G335" s="18">
        <v>7357.27</v>
      </c>
      <c r="H335" s="18"/>
      <c r="I335" s="18"/>
      <c r="J335" s="18"/>
      <c r="K335" s="18"/>
      <c r="L335" s="19">
        <f t="shared" si="18"/>
        <v>41261.270000000004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38104</v>
      </c>
      <c r="G337" s="41">
        <f t="shared" si="19"/>
        <v>8442.33</v>
      </c>
      <c r="H337" s="41">
        <f t="shared" si="19"/>
        <v>4680</v>
      </c>
      <c r="I337" s="41">
        <f t="shared" si="19"/>
        <v>32045.77</v>
      </c>
      <c r="J337" s="41">
        <f t="shared" si="19"/>
        <v>17673.080000000002</v>
      </c>
      <c r="K337" s="41">
        <f t="shared" si="19"/>
        <v>0</v>
      </c>
      <c r="L337" s="41">
        <f t="shared" si="18"/>
        <v>100945.18000000001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752968.51</v>
      </c>
      <c r="G338" s="41">
        <f t="shared" si="20"/>
        <v>285188.94</v>
      </c>
      <c r="H338" s="41">
        <f t="shared" si="20"/>
        <v>70016.62</v>
      </c>
      <c r="I338" s="41">
        <f t="shared" si="20"/>
        <v>49407.81</v>
      </c>
      <c r="J338" s="41">
        <f t="shared" si="20"/>
        <v>198266.65000000002</v>
      </c>
      <c r="K338" s="41">
        <f t="shared" si="20"/>
        <v>3463.36</v>
      </c>
      <c r="L338" s="41">
        <f t="shared" si="20"/>
        <v>1359311.89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100</v>
      </c>
      <c r="L344" s="19">
        <f t="shared" ref="L344:L350" si="21">SUM(F344:K344)</f>
        <v>100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100</v>
      </c>
      <c r="L351" s="41">
        <f>SUM(L341:L350)</f>
        <v>100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752968.51</v>
      </c>
      <c r="G352" s="41">
        <f>G338</f>
        <v>285188.94</v>
      </c>
      <c r="H352" s="41">
        <f>H338</f>
        <v>70016.62</v>
      </c>
      <c r="I352" s="41">
        <f>I338</f>
        <v>49407.81</v>
      </c>
      <c r="J352" s="41">
        <f>J338</f>
        <v>198266.65000000002</v>
      </c>
      <c r="K352" s="47">
        <f>K338+K351</f>
        <v>3563.36</v>
      </c>
      <c r="L352" s="41">
        <f>L338+L351</f>
        <v>1359411.89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128552.57999999999</v>
      </c>
      <c r="G358" s="18">
        <v>44986.110000000008</v>
      </c>
      <c r="H358" s="18">
        <v>7365.29</v>
      </c>
      <c r="I358" s="18">
        <v>91883.860000000015</v>
      </c>
      <c r="J358" s="18">
        <v>5778.48</v>
      </c>
      <c r="K358" s="18">
        <v>2233.91</v>
      </c>
      <c r="L358" s="13">
        <f>SUM(F358:K358)</f>
        <v>280800.23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144816.81</v>
      </c>
      <c r="G359" s="18">
        <v>52918.930000000008</v>
      </c>
      <c r="H359" s="18">
        <v>6122.1500000000005</v>
      </c>
      <c r="I359" s="18">
        <v>153712.99000000002</v>
      </c>
      <c r="J359" s="18">
        <v>119.92</v>
      </c>
      <c r="K359" s="18">
        <v>2170.9</v>
      </c>
      <c r="L359" s="19">
        <f>SUM(F359:K359)</f>
        <v>359861.7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156516.26999999999</v>
      </c>
      <c r="G360" s="18">
        <v>55726.350000000006</v>
      </c>
      <c r="H360" s="18">
        <v>8314.81</v>
      </c>
      <c r="I360" s="18">
        <v>217683.03</v>
      </c>
      <c r="J360" s="18">
        <v>155.55000000000001</v>
      </c>
      <c r="K360" s="18">
        <v>3177.44</v>
      </c>
      <c r="L360" s="19">
        <f>SUM(F360:K360)</f>
        <v>441573.44999999995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429885.66000000003</v>
      </c>
      <c r="G362" s="47">
        <f t="shared" si="22"/>
        <v>153631.39000000001</v>
      </c>
      <c r="H362" s="47">
        <f t="shared" si="22"/>
        <v>21802.25</v>
      </c>
      <c r="I362" s="47">
        <f t="shared" si="22"/>
        <v>463279.88</v>
      </c>
      <c r="J362" s="47">
        <f t="shared" si="22"/>
        <v>6053.95</v>
      </c>
      <c r="K362" s="47">
        <f t="shared" si="22"/>
        <v>7582.25</v>
      </c>
      <c r="L362" s="47">
        <f t="shared" si="22"/>
        <v>1082235.3799999999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81327.66</v>
      </c>
      <c r="G367" s="18">
        <v>140716.76</v>
      </c>
      <c r="H367" s="18">
        <v>199340.06</v>
      </c>
      <c r="I367" s="56">
        <f>SUM(F367:H367)</f>
        <v>421384.48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10556.2</v>
      </c>
      <c r="G368" s="63">
        <v>12996.23</v>
      </c>
      <c r="H368" s="63">
        <v>18342.97</v>
      </c>
      <c r="I368" s="56">
        <f>SUM(F368:H368)</f>
        <v>41895.4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91883.86</v>
      </c>
      <c r="G369" s="47">
        <f>SUM(G367:G368)</f>
        <v>153712.99000000002</v>
      </c>
      <c r="H369" s="47">
        <f>SUM(H367:H368)</f>
        <v>217683.03</v>
      </c>
      <c r="I369" s="47">
        <f>SUM(I367:I368)</f>
        <v>463279.88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128494.79999999999</v>
      </c>
      <c r="I378" s="18"/>
      <c r="J378" s="18">
        <v>176814.28999999998</v>
      </c>
      <c r="K378" s="18">
        <v>4518.18</v>
      </c>
      <c r="L378" s="13">
        <f t="shared" si="23"/>
        <v>309827.26999999996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840174.43</v>
      </c>
      <c r="I379" s="18"/>
      <c r="J379" s="18"/>
      <c r="K379" s="18"/>
      <c r="L379" s="13">
        <f t="shared" si="23"/>
        <v>840174.43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>
        <v>43689.45</v>
      </c>
      <c r="L380" s="13">
        <f t="shared" si="23"/>
        <v>43689.45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126348.73</v>
      </c>
      <c r="L381" s="13">
        <f t="shared" si="23"/>
        <v>126348.73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968669.23</v>
      </c>
      <c r="I382" s="41">
        <f t="shared" si="24"/>
        <v>0</v>
      </c>
      <c r="J382" s="47">
        <f t="shared" si="24"/>
        <v>176814.28999999998</v>
      </c>
      <c r="K382" s="47">
        <f t="shared" si="24"/>
        <v>174556.36</v>
      </c>
      <c r="L382" s="47">
        <f t="shared" si="24"/>
        <v>1320039.8799999999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7577.44</v>
      </c>
      <c r="G442" s="18"/>
      <c r="H442" s="18"/>
      <c r="I442" s="56">
        <f t="shared" si="33"/>
        <v>7577.44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7577.44</v>
      </c>
      <c r="G446" s="13">
        <f>SUM(G439:G445)</f>
        <v>0</v>
      </c>
      <c r="H446" s="13">
        <f>SUM(H439:H445)</f>
        <v>0</v>
      </c>
      <c r="I446" s="13">
        <f>SUM(I439:I445)</f>
        <v>7577.44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7577.44</v>
      </c>
      <c r="G459" s="18"/>
      <c r="H459" s="18"/>
      <c r="I459" s="56">
        <f t="shared" si="34"/>
        <v>7577.44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7577.44</v>
      </c>
      <c r="G460" s="83">
        <f>SUM(G454:G459)</f>
        <v>0</v>
      </c>
      <c r="H460" s="83">
        <f>SUM(H454:H459)</f>
        <v>0</v>
      </c>
      <c r="I460" s="83">
        <f>SUM(I454:I459)</f>
        <v>7577.44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7577.44</v>
      </c>
      <c r="G461" s="42">
        <f>G452+G460</f>
        <v>0</v>
      </c>
      <c r="H461" s="42">
        <f>H452+H460</f>
        <v>0</v>
      </c>
      <c r="I461" s="42">
        <f>I452+I460</f>
        <v>7577.44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11355353.48</v>
      </c>
      <c r="G465" s="18">
        <v>154005.82999999999</v>
      </c>
      <c r="H465" s="18">
        <v>0</v>
      </c>
      <c r="I465" s="18">
        <v>1579590.29</v>
      </c>
      <c r="J465" s="18">
        <v>7577.44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40292253.310000002</v>
      </c>
      <c r="G468" s="18">
        <v>1035088.7</v>
      </c>
      <c r="H468" s="18">
        <v>1359411.8900000001</v>
      </c>
      <c r="I468" s="18">
        <v>145340</v>
      </c>
      <c r="J468" s="18">
        <v>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233742.52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40525995.830000006</v>
      </c>
      <c r="G470" s="53">
        <f>SUM(G468:G469)</f>
        <v>1035088.7</v>
      </c>
      <c r="H470" s="53">
        <f>SUM(H468:H469)</f>
        <v>1359411.8900000001</v>
      </c>
      <c r="I470" s="53">
        <f>SUM(I468:I469)</f>
        <v>145340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38759244.369999982</v>
      </c>
      <c r="G472" s="18">
        <v>1082235.3799999994</v>
      </c>
      <c r="H472" s="18">
        <v>1359411.8900000004</v>
      </c>
      <c r="I472" s="18">
        <v>1320039.8799999999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354941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39114185.369999982</v>
      </c>
      <c r="G474" s="53">
        <f>SUM(G472:G473)</f>
        <v>1082235.3799999994</v>
      </c>
      <c r="H474" s="53">
        <f>SUM(H472:H473)</f>
        <v>1359411.8900000004</v>
      </c>
      <c r="I474" s="53">
        <f>SUM(I472:I473)</f>
        <v>1320039.8799999999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12767163.94000002</v>
      </c>
      <c r="G476" s="53">
        <f>(G465+G470)- G474</f>
        <v>106859.15000000061</v>
      </c>
      <c r="H476" s="53">
        <f>(H465+H470)- H474</f>
        <v>0</v>
      </c>
      <c r="I476" s="53">
        <f>(I465+I470)- I474</f>
        <v>404890.41000000015</v>
      </c>
      <c r="J476" s="53">
        <f>(J465+J470)- J474</f>
        <v>7577.44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6015000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3.68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2860000</v>
      </c>
      <c r="G495" s="18"/>
      <c r="H495" s="18"/>
      <c r="I495" s="18"/>
      <c r="J495" s="18"/>
      <c r="K495" s="53">
        <f>SUM(F495:J495)</f>
        <v>2860000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590000</v>
      </c>
      <c r="G497" s="18"/>
      <c r="H497" s="18"/>
      <c r="I497" s="18"/>
      <c r="J497" s="18"/>
      <c r="K497" s="53">
        <f t="shared" si="35"/>
        <v>590000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2270000</v>
      </c>
      <c r="G498" s="204"/>
      <c r="H498" s="204"/>
      <c r="I498" s="204"/>
      <c r="J498" s="204"/>
      <c r="K498" s="205">
        <f t="shared" si="35"/>
        <v>2270000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189713</v>
      </c>
      <c r="G499" s="18"/>
      <c r="H499" s="18"/>
      <c r="I499" s="18"/>
      <c r="J499" s="18"/>
      <c r="K499" s="53">
        <f t="shared" si="35"/>
        <v>189713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2459713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2459713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580000</v>
      </c>
      <c r="G501" s="204"/>
      <c r="H501" s="204"/>
      <c r="I501" s="204"/>
      <c r="J501" s="204"/>
      <c r="K501" s="205">
        <f t="shared" si="35"/>
        <v>580000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81975</v>
      </c>
      <c r="G502" s="18"/>
      <c r="H502" s="18"/>
      <c r="I502" s="18"/>
      <c r="J502" s="18"/>
      <c r="K502" s="53">
        <f t="shared" si="35"/>
        <v>81975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661975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661975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944235.47</v>
      </c>
      <c r="G521" s="18">
        <v>434781.54600000009</v>
      </c>
      <c r="H521" s="18">
        <v>475588.17000000004</v>
      </c>
      <c r="I521" s="18">
        <v>11013.229999999998</v>
      </c>
      <c r="J521" s="18">
        <v>8641.6099999999988</v>
      </c>
      <c r="K521" s="18"/>
      <c r="L521" s="88">
        <f>SUM(F521:K521)</f>
        <v>1874260.0260000003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859060.75</v>
      </c>
      <c r="G522" s="18">
        <v>447889.67399999988</v>
      </c>
      <c r="H522" s="18">
        <v>399718.42999999993</v>
      </c>
      <c r="I522" s="18">
        <v>17518.169999999998</v>
      </c>
      <c r="J522" s="18">
        <v>8347.619999999999</v>
      </c>
      <c r="K522" s="18">
        <v>605</v>
      </c>
      <c r="L522" s="88">
        <f>SUM(F522:K522)</f>
        <v>1733139.6439999999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863078.16</v>
      </c>
      <c r="G523" s="18">
        <v>501115.07999999996</v>
      </c>
      <c r="H523" s="18">
        <v>452385.02</v>
      </c>
      <c r="I523" s="18">
        <v>18211.37</v>
      </c>
      <c r="J523" s="18">
        <v>784.5</v>
      </c>
      <c r="K523" s="18"/>
      <c r="L523" s="88">
        <f>SUM(F523:K523)</f>
        <v>1835574.1300000001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2666374.38</v>
      </c>
      <c r="G524" s="108">
        <f t="shared" ref="G524:L524" si="36">SUM(G521:G523)</f>
        <v>1383786.2999999998</v>
      </c>
      <c r="H524" s="108">
        <f t="shared" si="36"/>
        <v>1327691.6200000001</v>
      </c>
      <c r="I524" s="108">
        <f t="shared" si="36"/>
        <v>46742.76999999999</v>
      </c>
      <c r="J524" s="108">
        <f t="shared" si="36"/>
        <v>17773.729999999996</v>
      </c>
      <c r="K524" s="108">
        <f t="shared" si="36"/>
        <v>605</v>
      </c>
      <c r="L524" s="89">
        <f t="shared" si="36"/>
        <v>5442973.7999999998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647852.73</v>
      </c>
      <c r="G526" s="18">
        <v>289854.36400000006</v>
      </c>
      <c r="H526" s="18"/>
      <c r="I526" s="18"/>
      <c r="J526" s="18"/>
      <c r="K526" s="18"/>
      <c r="L526" s="88">
        <f>SUM(F526:K526)</f>
        <v>937707.09400000004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714596.72</v>
      </c>
      <c r="G527" s="18">
        <v>298593.11599999992</v>
      </c>
      <c r="H527" s="18"/>
      <c r="I527" s="18"/>
      <c r="J527" s="18"/>
      <c r="K527" s="18"/>
      <c r="L527" s="88">
        <f>SUM(F527:K527)</f>
        <v>1013189.8359999999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802211.02</v>
      </c>
      <c r="G528" s="18">
        <v>334076.71999999997</v>
      </c>
      <c r="H528" s="18"/>
      <c r="I528" s="18"/>
      <c r="J528" s="18"/>
      <c r="K528" s="18"/>
      <c r="L528" s="88">
        <f>SUM(F528:K528)</f>
        <v>1136287.74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2164660.4699999997</v>
      </c>
      <c r="G529" s="89">
        <f t="shared" ref="G529:L529" si="37">SUM(G526:G528)</f>
        <v>922524.2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3087184.67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83067</v>
      </c>
      <c r="G532" s="18">
        <v>51864</v>
      </c>
      <c r="H532" s="18"/>
      <c r="I532" s="18"/>
      <c r="J532" s="18"/>
      <c r="K532" s="18"/>
      <c r="L532" s="88">
        <f>SUM(F532:K532)</f>
        <v>134931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85162</v>
      </c>
      <c r="G533" s="18">
        <v>33319</v>
      </c>
      <c r="H533" s="18"/>
      <c r="I533" s="18"/>
      <c r="J533" s="18"/>
      <c r="K533" s="18"/>
      <c r="L533" s="88">
        <f>SUM(F533:K533)</f>
        <v>118481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168229</v>
      </c>
      <c r="G534" s="89">
        <f t="shared" ref="G534:L534" si="38">SUM(G531:G533)</f>
        <v>85183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253412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396.55</v>
      </c>
      <c r="I536" s="18"/>
      <c r="J536" s="18"/>
      <c r="K536" s="18"/>
      <c r="L536" s="88">
        <f>SUM(F536:K536)</f>
        <v>396.55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385.14</v>
      </c>
      <c r="I537" s="18"/>
      <c r="J537" s="18"/>
      <c r="K537" s="18"/>
      <c r="L537" s="88">
        <f>SUM(F537:K537)</f>
        <v>385.14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499.56</v>
      </c>
      <c r="I538" s="18"/>
      <c r="J538" s="18"/>
      <c r="K538" s="18"/>
      <c r="L538" s="88">
        <f>SUM(F538:K538)</f>
        <v>499.56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1281.25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1281.25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186189.41</v>
      </c>
      <c r="I541" s="18"/>
      <c r="J541" s="18"/>
      <c r="K541" s="18"/>
      <c r="L541" s="88">
        <f>SUM(F541:K541)</f>
        <v>186189.41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180835.34</v>
      </c>
      <c r="I542" s="18"/>
      <c r="J542" s="18"/>
      <c r="K542" s="18"/>
      <c r="L542" s="88">
        <f>SUM(F542:K542)</f>
        <v>180835.34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234556.55</v>
      </c>
      <c r="I543" s="18"/>
      <c r="J543" s="18"/>
      <c r="K543" s="18"/>
      <c r="L543" s="88">
        <f>SUM(F543:K543)</f>
        <v>234556.55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601581.30000000005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601581.30000000005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4999263.8499999996</v>
      </c>
      <c r="G545" s="89">
        <f t="shared" ref="G545:L545" si="41">G524+G529+G534+G539+G544</f>
        <v>2391493.5</v>
      </c>
      <c r="H545" s="89">
        <f t="shared" si="41"/>
        <v>1930554.1700000002</v>
      </c>
      <c r="I545" s="89">
        <f t="shared" si="41"/>
        <v>46742.76999999999</v>
      </c>
      <c r="J545" s="89">
        <f t="shared" si="41"/>
        <v>17773.729999999996</v>
      </c>
      <c r="K545" s="89">
        <f t="shared" si="41"/>
        <v>605</v>
      </c>
      <c r="L545" s="89">
        <f t="shared" si="41"/>
        <v>9386433.0199999996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1874260.0260000003</v>
      </c>
      <c r="G549" s="87">
        <f>L526</f>
        <v>937707.09400000004</v>
      </c>
      <c r="H549" s="87">
        <f>L531</f>
        <v>0</v>
      </c>
      <c r="I549" s="87">
        <f>L536</f>
        <v>396.55</v>
      </c>
      <c r="J549" s="87">
        <f>L541</f>
        <v>186189.41</v>
      </c>
      <c r="K549" s="87">
        <f>SUM(F549:J549)</f>
        <v>2998553.08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1733139.6439999999</v>
      </c>
      <c r="G550" s="87">
        <f>L527</f>
        <v>1013189.8359999999</v>
      </c>
      <c r="H550" s="87">
        <f>L532</f>
        <v>134931</v>
      </c>
      <c r="I550" s="87">
        <f>L537</f>
        <v>385.14</v>
      </c>
      <c r="J550" s="87">
        <f>L542</f>
        <v>180835.34</v>
      </c>
      <c r="K550" s="87">
        <f>SUM(F550:J550)</f>
        <v>3062480.9599999995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1835574.1300000001</v>
      </c>
      <c r="G551" s="87">
        <f>L528</f>
        <v>1136287.74</v>
      </c>
      <c r="H551" s="87">
        <f>L533</f>
        <v>118481</v>
      </c>
      <c r="I551" s="87">
        <f>L538</f>
        <v>499.56</v>
      </c>
      <c r="J551" s="87">
        <f>L543</f>
        <v>234556.55</v>
      </c>
      <c r="K551" s="87">
        <f>SUM(F551:J551)</f>
        <v>3325398.98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5442973.7999999998</v>
      </c>
      <c r="G552" s="89">
        <f t="shared" si="42"/>
        <v>3087184.67</v>
      </c>
      <c r="H552" s="89">
        <f t="shared" si="42"/>
        <v>253412</v>
      </c>
      <c r="I552" s="89">
        <f t="shared" si="42"/>
        <v>1281.25</v>
      </c>
      <c r="J552" s="89">
        <f t="shared" si="42"/>
        <v>601581.30000000005</v>
      </c>
      <c r="K552" s="89">
        <f t="shared" si="42"/>
        <v>9386433.0199999996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29001.08</v>
      </c>
      <c r="G562" s="18">
        <v>15669.61</v>
      </c>
      <c r="H562" s="18">
        <v>204.45</v>
      </c>
      <c r="I562" s="18">
        <v>204.45</v>
      </c>
      <c r="J562" s="18"/>
      <c r="K562" s="18"/>
      <c r="L562" s="88">
        <f>SUM(F562:K562)</f>
        <v>45079.59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28167.119999999999</v>
      </c>
      <c r="G563" s="18">
        <v>15219.02</v>
      </c>
      <c r="H563" s="18">
        <v>198.57</v>
      </c>
      <c r="I563" s="18">
        <v>198.57</v>
      </c>
      <c r="J563" s="18"/>
      <c r="K563" s="18"/>
      <c r="L563" s="88">
        <f>SUM(F563:K563)</f>
        <v>43783.28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36534.800000000003</v>
      </c>
      <c r="G564" s="18">
        <v>19740.169999999998</v>
      </c>
      <c r="H564" s="18">
        <v>257.56</v>
      </c>
      <c r="I564" s="18">
        <v>257.56</v>
      </c>
      <c r="J564" s="18"/>
      <c r="K564" s="18"/>
      <c r="L564" s="88">
        <f>SUM(F564:K564)</f>
        <v>56790.09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93703</v>
      </c>
      <c r="G565" s="89">
        <f t="shared" si="44"/>
        <v>50628.800000000003</v>
      </c>
      <c r="H565" s="89">
        <f t="shared" si="44"/>
        <v>660.57999999999993</v>
      </c>
      <c r="I565" s="89">
        <f t="shared" si="44"/>
        <v>660.57999999999993</v>
      </c>
      <c r="J565" s="89">
        <f t="shared" si="44"/>
        <v>0</v>
      </c>
      <c r="K565" s="89">
        <f t="shared" si="44"/>
        <v>0</v>
      </c>
      <c r="L565" s="89">
        <f t="shared" si="44"/>
        <v>145652.96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93703</v>
      </c>
      <c r="G571" s="89">
        <f t="shared" ref="G571:L571" si="46">G560+G565+G570</f>
        <v>50628.800000000003</v>
      </c>
      <c r="H571" s="89">
        <f t="shared" si="46"/>
        <v>660.57999999999993</v>
      </c>
      <c r="I571" s="89">
        <f t="shared" si="46"/>
        <v>660.57999999999993</v>
      </c>
      <c r="J571" s="89">
        <f t="shared" si="46"/>
        <v>0</v>
      </c>
      <c r="K571" s="89">
        <f t="shared" si="46"/>
        <v>0</v>
      </c>
      <c r="L571" s="89">
        <f t="shared" si="46"/>
        <v>145652.96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24610</v>
      </c>
      <c r="G579" s="18">
        <v>23902.31</v>
      </c>
      <c r="H579" s="18">
        <v>31003.03</v>
      </c>
      <c r="I579" s="87">
        <f t="shared" si="47"/>
        <v>79515.34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552.67999999999995</v>
      </c>
      <c r="I581" s="87">
        <f t="shared" si="47"/>
        <v>552.67999999999995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288012.59000000003</v>
      </c>
      <c r="G582" s="18">
        <v>216047.66999999998</v>
      </c>
      <c r="H582" s="18">
        <v>216097.52</v>
      </c>
      <c r="I582" s="87">
        <f t="shared" si="47"/>
        <v>720157.78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124682.92</v>
      </c>
      <c r="I584" s="87">
        <f t="shared" si="47"/>
        <v>124682.92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338353.64</v>
      </c>
      <c r="I591" s="18">
        <v>328623.92</v>
      </c>
      <c r="J591" s="18">
        <v>431689.22</v>
      </c>
      <c r="K591" s="104">
        <f t="shared" ref="K591:K597" si="48">SUM(H591:J591)</f>
        <v>1098666.78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186823.9</v>
      </c>
      <c r="I592" s="18">
        <v>181451.59</v>
      </c>
      <c r="J592" s="18">
        <v>235355.86</v>
      </c>
      <c r="K592" s="104">
        <f t="shared" si="48"/>
        <v>603631.35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43056.5</v>
      </c>
      <c r="K593" s="104">
        <f t="shared" si="48"/>
        <v>43056.5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25397.01</v>
      </c>
      <c r="J594" s="18">
        <v>62717.47</v>
      </c>
      <c r="K594" s="104">
        <f t="shared" si="48"/>
        <v>88114.48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4219.8500000000004</v>
      </c>
      <c r="I595" s="18">
        <v>3546.58</v>
      </c>
      <c r="J595" s="18">
        <v>9167.5</v>
      </c>
      <c r="K595" s="104">
        <f t="shared" si="48"/>
        <v>16933.93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608.12</v>
      </c>
      <c r="I597" s="18">
        <v>590.63</v>
      </c>
      <c r="J597" s="18">
        <v>766.09</v>
      </c>
      <c r="K597" s="104">
        <f t="shared" si="48"/>
        <v>1964.8400000000001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530005.51</v>
      </c>
      <c r="I598" s="108">
        <f>SUM(I591:I597)</f>
        <v>539609.73</v>
      </c>
      <c r="J598" s="108">
        <f>SUM(J591:J597)</f>
        <v>782752.6399999999</v>
      </c>
      <c r="K598" s="108">
        <f>SUM(K591:K597)</f>
        <v>1852367.88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195000.85000000003</v>
      </c>
      <c r="I604" s="18">
        <v>201109.98000000004</v>
      </c>
      <c r="J604" s="18">
        <v>256805.11</v>
      </c>
      <c r="K604" s="104">
        <f>SUM(H604:J604)</f>
        <v>652915.94000000006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195000.85000000003</v>
      </c>
      <c r="I605" s="108">
        <f>SUM(I602:I604)</f>
        <v>201109.98000000004</v>
      </c>
      <c r="J605" s="108">
        <f>SUM(J602:J604)</f>
        <v>256805.11</v>
      </c>
      <c r="K605" s="108">
        <f>SUM(K602:K604)</f>
        <v>652915.94000000006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14139304.120000001</v>
      </c>
      <c r="H617" s="109">
        <f>SUM(F52)</f>
        <v>14139304.120000001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138545.71000000002</v>
      </c>
      <c r="H618" s="109">
        <f>SUM(G52)</f>
        <v>138545.71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870314.45</v>
      </c>
      <c r="H619" s="109">
        <f>SUM(H52)</f>
        <v>870314.45000000007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473066.46</v>
      </c>
      <c r="H620" s="109">
        <f>SUM(I52)</f>
        <v>473066.46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7577.44</v>
      </c>
      <c r="H621" s="109">
        <f>SUM(J52)</f>
        <v>7577.44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12767163.940000001</v>
      </c>
      <c r="H622" s="109">
        <f>F476</f>
        <v>12767163.94000002</v>
      </c>
      <c r="I622" s="121" t="s">
        <v>101</v>
      </c>
      <c r="J622" s="109">
        <f t="shared" ref="J622:J655" si="50">G622-H622</f>
        <v>-1.862645149230957E-8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106859.15</v>
      </c>
      <c r="H623" s="109">
        <f>G476</f>
        <v>106859.15000000061</v>
      </c>
      <c r="I623" s="121" t="s">
        <v>102</v>
      </c>
      <c r="J623" s="109">
        <f t="shared" si="50"/>
        <v>-6.1118043959140778E-10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404890.41000000003</v>
      </c>
      <c r="H625" s="109">
        <f>I476</f>
        <v>404890.41000000015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7577.44</v>
      </c>
      <c r="H626" s="109">
        <f>J476</f>
        <v>7577.44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40292253.310000002</v>
      </c>
      <c r="H627" s="104">
        <f>SUM(F468)</f>
        <v>40292253.310000002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1035088.7000000001</v>
      </c>
      <c r="H628" s="104">
        <f>SUM(G468)</f>
        <v>1035088.7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1359411.8900000001</v>
      </c>
      <c r="H629" s="104">
        <f>SUM(H468)</f>
        <v>1359411.8900000001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145340</v>
      </c>
      <c r="H630" s="104">
        <f>SUM(I468)</f>
        <v>145340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38759244.369999997</v>
      </c>
      <c r="H632" s="104">
        <f>SUM(F472)</f>
        <v>38759244.369999982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1359411.89</v>
      </c>
      <c r="H633" s="104">
        <f>SUM(H472)</f>
        <v>1359411.8900000004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463279.88</v>
      </c>
      <c r="H634" s="104">
        <f>I369</f>
        <v>463279.88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1082235.3799999999</v>
      </c>
      <c r="H635" s="104">
        <f>SUM(G472)</f>
        <v>1082235.3799999994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1320039.8799999999</v>
      </c>
      <c r="H636" s="104">
        <f>SUM(I472)</f>
        <v>1320039.8799999999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7577.44</v>
      </c>
      <c r="H639" s="104">
        <f>SUM(F461)</f>
        <v>7577.44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7577.44</v>
      </c>
      <c r="H642" s="104">
        <f>SUM(I461)</f>
        <v>7577.44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1852367.88</v>
      </c>
      <c r="H647" s="104">
        <f>L208+L226+L244</f>
        <v>1852367.88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652915.94000000006</v>
      </c>
      <c r="H648" s="104">
        <f>(J257+J338)-(J255+J336)</f>
        <v>652915.94000000018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530005.51</v>
      </c>
      <c r="H649" s="104">
        <f>H598</f>
        <v>530005.51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539609.73</v>
      </c>
      <c r="H650" s="104">
        <f>I598</f>
        <v>539609.73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782752.6399999999</v>
      </c>
      <c r="H651" s="104">
        <f>J598</f>
        <v>782752.6399999999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421.64</v>
      </c>
      <c r="H652" s="104">
        <f>K263+K345</f>
        <v>421.64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145340</v>
      </c>
      <c r="H654" s="104">
        <f>K265+K346</f>
        <v>145340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11514082.709999999</v>
      </c>
      <c r="G660" s="19">
        <f>(L229+L309+L359)</f>
        <v>12246219.889999999</v>
      </c>
      <c r="H660" s="19">
        <f>(L247+L328+L360)</f>
        <v>16501470.719999997</v>
      </c>
      <c r="I660" s="19">
        <f>SUM(F660:H660)</f>
        <v>40261773.319999993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180368.96702386779</v>
      </c>
      <c r="G661" s="19">
        <f>(L359/IF(SUM(L358:L360)=0,1,SUM(L358:L360))*(SUM(G97:G110)))</f>
        <v>231153.24050999893</v>
      </c>
      <c r="H661" s="19">
        <f>(L360/IF(SUM(L358:L360)=0,1,SUM(L358:L360))*(SUM(G97:G110)))</f>
        <v>283639.89246613346</v>
      </c>
      <c r="I661" s="19">
        <f>SUM(F661:H661)</f>
        <v>695162.10000000021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530005.51</v>
      </c>
      <c r="G662" s="19">
        <f>(L226+L306)-(J226+J306)</f>
        <v>539609.73</v>
      </c>
      <c r="H662" s="19">
        <f>(L244+L325)-(J244+J325)</f>
        <v>782752.6399999999</v>
      </c>
      <c r="I662" s="19">
        <f>SUM(F662:H662)</f>
        <v>1852367.88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507623.44000000006</v>
      </c>
      <c r="G663" s="199">
        <f>SUM(G575:G587)+SUM(I602:I604)+L612</f>
        <v>441059.96</v>
      </c>
      <c r="H663" s="199">
        <f>SUM(H575:H587)+SUM(J602:J604)+L613</f>
        <v>629141.26</v>
      </c>
      <c r="I663" s="19">
        <f>SUM(F663:H663)</f>
        <v>1577824.6600000001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10296084.792976132</v>
      </c>
      <c r="G664" s="19">
        <f>G660-SUM(G661:G663)</f>
        <v>11034396.959489999</v>
      </c>
      <c r="H664" s="19">
        <f>H660-SUM(H661:H663)</f>
        <v>14805936.927533863</v>
      </c>
      <c r="I664" s="19">
        <f>I660-SUM(I661:I663)</f>
        <v>36136418.679999992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753.35</v>
      </c>
      <c r="G665" s="248">
        <v>838.7</v>
      </c>
      <c r="H665" s="248">
        <v>1100.74</v>
      </c>
      <c r="I665" s="19">
        <f>SUM(F665:H665)</f>
        <v>2692.79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13667.07</v>
      </c>
      <c r="G667" s="19">
        <f>ROUND(G664/G665,2)</f>
        <v>13156.55</v>
      </c>
      <c r="H667" s="19">
        <f>ROUND(H664/H665,2)</f>
        <v>13450.89</v>
      </c>
      <c r="I667" s="19">
        <f>ROUND(I664/I665,2)</f>
        <v>13419.69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-26.61</v>
      </c>
      <c r="I670" s="19">
        <f>SUM(F670:H670)</f>
        <v>-26.61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13667.07</v>
      </c>
      <c r="G672" s="19">
        <f>ROUND((G664+G669)/(G665+G670),2)</f>
        <v>13156.55</v>
      </c>
      <c r="H672" s="19">
        <f>ROUND((H664+H669)/(H665+H670),2)</f>
        <v>13784.12</v>
      </c>
      <c r="I672" s="19">
        <f>ROUND((I664+I669)/(I665+I670),2)</f>
        <v>13553.63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Goffstown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10708534.609999999</v>
      </c>
      <c r="C9" s="229">
        <f>'DOE25'!G197+'DOE25'!G215+'DOE25'!G233+'DOE25'!G276+'DOE25'!G295+'DOE25'!G314</f>
        <v>4831230.8899999997</v>
      </c>
    </row>
    <row r="10" spans="1:3" x14ac:dyDescent="0.2">
      <c r="A10" t="s">
        <v>773</v>
      </c>
      <c r="B10" s="240">
        <v>9934643.4000000004</v>
      </c>
      <c r="C10" s="240">
        <v>4758061.7300000004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773891.20999999903</v>
      </c>
      <c r="C12" s="240">
        <v>73169.159999999218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10708534.609999999</v>
      </c>
      <c r="C13" s="231">
        <f>SUM(C10:C12)</f>
        <v>4831230.8899999997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4924737.8499999996</v>
      </c>
      <c r="C18" s="229">
        <f>'DOE25'!G198+'DOE25'!G216+'DOE25'!G234+'DOE25'!G277+'DOE25'!G296+'DOE25'!G315</f>
        <v>2357065.5499999998</v>
      </c>
    </row>
    <row r="19" spans="1:3" x14ac:dyDescent="0.2">
      <c r="A19" t="s">
        <v>773</v>
      </c>
      <c r="B19" s="240">
        <v>2433265.35</v>
      </c>
      <c r="C19" s="240">
        <v>1178532</v>
      </c>
    </row>
    <row r="20" spans="1:3" x14ac:dyDescent="0.2">
      <c r="A20" t="s">
        <v>774</v>
      </c>
      <c r="B20" s="240">
        <v>1715867.23</v>
      </c>
      <c r="C20" s="240">
        <v>824972.94249999989</v>
      </c>
    </row>
    <row r="21" spans="1:3" x14ac:dyDescent="0.2">
      <c r="A21" t="s">
        <v>775</v>
      </c>
      <c r="B21" s="240">
        <v>775605.26999999955</v>
      </c>
      <c r="C21" s="240">
        <v>353560.60749999993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4924737.8499999996</v>
      </c>
      <c r="C22" s="231">
        <f>SUM(C19:C21)</f>
        <v>2357065.5499999998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486483.20000000001</v>
      </c>
      <c r="C36" s="235">
        <f>'DOE25'!G200+'DOE25'!G218+'DOE25'!G236+'DOE25'!G279+'DOE25'!G298+'DOE25'!G317</f>
        <v>131130.65</v>
      </c>
    </row>
    <row r="37" spans="1:3" x14ac:dyDescent="0.2">
      <c r="A37" t="s">
        <v>773</v>
      </c>
      <c r="B37" s="240">
        <v>24518.75</v>
      </c>
      <c r="C37" s="240">
        <v>85424.43</v>
      </c>
    </row>
    <row r="38" spans="1:3" x14ac:dyDescent="0.2">
      <c r="A38" t="s">
        <v>774</v>
      </c>
      <c r="B38" s="240">
        <v>16691.340000000026</v>
      </c>
      <c r="C38" s="240">
        <v>14049.279999999999</v>
      </c>
    </row>
    <row r="39" spans="1:3" x14ac:dyDescent="0.2">
      <c r="A39" t="s">
        <v>775</v>
      </c>
      <c r="B39" s="240">
        <v>445273.11</v>
      </c>
      <c r="C39" s="240">
        <v>31656.94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486483.20000000001</v>
      </c>
      <c r="C40" s="231">
        <f>SUM(C37:C39)</f>
        <v>131130.65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Goffstown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25599910.810000002</v>
      </c>
      <c r="D5" s="20">
        <f>SUM('DOE25'!L197:L200)+SUM('DOE25'!L215:L218)+SUM('DOE25'!L233:L236)-F5-G5</f>
        <v>25312092.73</v>
      </c>
      <c r="E5" s="243"/>
      <c r="F5" s="255">
        <f>SUM('DOE25'!J197:J200)+SUM('DOE25'!J215:J218)+SUM('DOE25'!J233:J236)</f>
        <v>261302.19</v>
      </c>
      <c r="G5" s="53">
        <f>SUM('DOE25'!K197:K200)+SUM('DOE25'!K215:K218)+SUM('DOE25'!K233:K236)</f>
        <v>26515.89</v>
      </c>
      <c r="H5" s="259"/>
    </row>
    <row r="6" spans="1:9" x14ac:dyDescent="0.2">
      <c r="A6" s="32">
        <v>2100</v>
      </c>
      <c r="B6" t="s">
        <v>795</v>
      </c>
      <c r="C6" s="245">
        <f t="shared" si="0"/>
        <v>2052626.56</v>
      </c>
      <c r="D6" s="20">
        <f>'DOE25'!L202+'DOE25'!L220+'DOE25'!L238-F6-G6</f>
        <v>2051719.84</v>
      </c>
      <c r="E6" s="243"/>
      <c r="F6" s="255">
        <f>'DOE25'!J202+'DOE25'!J220+'DOE25'!J238</f>
        <v>0</v>
      </c>
      <c r="G6" s="53">
        <f>'DOE25'!K202+'DOE25'!K220+'DOE25'!K238</f>
        <v>906.72</v>
      </c>
      <c r="H6" s="259"/>
    </row>
    <row r="7" spans="1:9" x14ac:dyDescent="0.2">
      <c r="A7" s="32">
        <v>2200</v>
      </c>
      <c r="B7" t="s">
        <v>828</v>
      </c>
      <c r="C7" s="245">
        <f t="shared" si="0"/>
        <v>838466.5</v>
      </c>
      <c r="D7" s="20">
        <f>'DOE25'!L203+'DOE25'!L221+'DOE25'!L239-F7-G7</f>
        <v>835641.54</v>
      </c>
      <c r="E7" s="243"/>
      <c r="F7" s="255">
        <f>'DOE25'!J203+'DOE25'!J221+'DOE25'!J239</f>
        <v>2824.96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1215720.02</v>
      </c>
      <c r="D8" s="243"/>
      <c r="E8" s="20">
        <f>'DOE25'!L204+'DOE25'!L222+'DOE25'!L240-F8-G8-D9-D11</f>
        <v>1209919.5900000001</v>
      </c>
      <c r="F8" s="255">
        <f>'DOE25'!J204+'DOE25'!J222+'DOE25'!J240</f>
        <v>0</v>
      </c>
      <c r="G8" s="53">
        <f>'DOE25'!K204+'DOE25'!K222+'DOE25'!K240</f>
        <v>5800.43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105792.45</v>
      </c>
      <c r="D9" s="244">
        <v>105792.45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21500</v>
      </c>
      <c r="D10" s="243"/>
      <c r="E10" s="244">
        <v>21500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341600</v>
      </c>
      <c r="D11" s="244">
        <v>341600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2406477.1800000002</v>
      </c>
      <c r="D12" s="20">
        <f>'DOE25'!L205+'DOE25'!L223+'DOE25'!L241-F12-G12</f>
        <v>2371913.5100000002</v>
      </c>
      <c r="E12" s="243"/>
      <c r="F12" s="255">
        <f>'DOE25'!J205+'DOE25'!J223+'DOE25'!J241</f>
        <v>0</v>
      </c>
      <c r="G12" s="53">
        <f>'DOE25'!K205+'DOE25'!K223+'DOE25'!K241</f>
        <v>34563.67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3468641.63</v>
      </c>
      <c r="D14" s="20">
        <f>'DOE25'!L207+'DOE25'!L225+'DOE25'!L243-F14-G14</f>
        <v>3278119.4899999998</v>
      </c>
      <c r="E14" s="243"/>
      <c r="F14" s="255">
        <f>'DOE25'!J207+'DOE25'!J225+'DOE25'!J243</f>
        <v>190522.14000000004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1852367.88</v>
      </c>
      <c r="D15" s="20">
        <f>'DOE25'!L208+'DOE25'!L226+'DOE25'!L244-F15-G15</f>
        <v>1852367.88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39568.200000000004</v>
      </c>
      <c r="D16" s="243"/>
      <c r="E16" s="20">
        <f>'DOE25'!L209+'DOE25'!L227+'DOE25'!L245-F16-G16</f>
        <v>39568.200000000004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849</v>
      </c>
      <c r="D22" s="243"/>
      <c r="E22" s="243"/>
      <c r="F22" s="255">
        <f>'DOE25'!L255+'DOE25'!L336</f>
        <v>849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691462.5</v>
      </c>
      <c r="D25" s="243"/>
      <c r="E25" s="243"/>
      <c r="F25" s="258"/>
      <c r="G25" s="256"/>
      <c r="H25" s="257">
        <f>'DOE25'!L260+'DOE25'!L261+'DOE25'!L341+'DOE25'!L342</f>
        <v>691462.5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660850.89999999991</v>
      </c>
      <c r="D29" s="20">
        <f>'DOE25'!L358+'DOE25'!L359+'DOE25'!L360-'DOE25'!I367-F29-G29</f>
        <v>647214.69999999995</v>
      </c>
      <c r="E29" s="243"/>
      <c r="F29" s="255">
        <f>'DOE25'!J358+'DOE25'!J359+'DOE25'!J360</f>
        <v>6053.95</v>
      </c>
      <c r="G29" s="53">
        <f>'DOE25'!K358+'DOE25'!K359+'DOE25'!K360</f>
        <v>7582.25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1359311.89</v>
      </c>
      <c r="D31" s="20">
        <f>'DOE25'!L290+'DOE25'!L309+'DOE25'!L328+'DOE25'!L333+'DOE25'!L334+'DOE25'!L335-F31-G31</f>
        <v>1157581.8799999997</v>
      </c>
      <c r="E31" s="243"/>
      <c r="F31" s="255">
        <f>'DOE25'!J290+'DOE25'!J309+'DOE25'!J328+'DOE25'!J333+'DOE25'!J334+'DOE25'!J335</f>
        <v>198266.65000000002</v>
      </c>
      <c r="G31" s="53">
        <f>'DOE25'!K290+'DOE25'!K309+'DOE25'!K328+'DOE25'!K333+'DOE25'!K334+'DOE25'!K335</f>
        <v>3463.36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37954044.020000011</v>
      </c>
      <c r="E33" s="246">
        <f>SUM(E5:E31)</f>
        <v>1270987.79</v>
      </c>
      <c r="F33" s="246">
        <f>SUM(F5:F31)</f>
        <v>659818.89000000013</v>
      </c>
      <c r="G33" s="246">
        <f>SUM(G5:G31)</f>
        <v>78832.319999999992</v>
      </c>
      <c r="H33" s="246">
        <f>SUM(H5:H31)</f>
        <v>691462.5</v>
      </c>
    </row>
    <row r="35" spans="2:8" ht="12" thickBot="1" x14ac:dyDescent="0.25">
      <c r="B35" s="253" t="s">
        <v>841</v>
      </c>
      <c r="D35" s="254">
        <f>E33</f>
        <v>1270987.79</v>
      </c>
      <c r="E35" s="249"/>
    </row>
    <row r="36" spans="2:8" ht="12" thickTop="1" x14ac:dyDescent="0.2">
      <c r="B36" t="s">
        <v>809</v>
      </c>
      <c r="D36" s="20">
        <f>D33</f>
        <v>37954044.020000011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12768346.310000001</v>
      </c>
      <c r="D8" s="95">
        <f>'DOE25'!G9</f>
        <v>56255.37</v>
      </c>
      <c r="E8" s="95">
        <f>'DOE25'!H9</f>
        <v>0</v>
      </c>
      <c r="F8" s="95">
        <f>'DOE25'!I9</f>
        <v>473066.46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786996.81</v>
      </c>
      <c r="D11" s="95">
        <f>'DOE25'!G12</f>
        <v>28256.7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461515.76</v>
      </c>
      <c r="D12" s="95">
        <f>'DOE25'!G13</f>
        <v>54033.64</v>
      </c>
      <c r="E12" s="95">
        <f>'DOE25'!H13</f>
        <v>870314.45</v>
      </c>
      <c r="F12" s="95">
        <f>'DOE25'!I13</f>
        <v>0</v>
      </c>
      <c r="G12" s="95">
        <f>'DOE25'!J13</f>
        <v>7577.44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19039.849999999999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26833.89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76571.5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14139304.120000001</v>
      </c>
      <c r="D18" s="41">
        <f>SUM(D8:D17)</f>
        <v>138545.71000000002</v>
      </c>
      <c r="E18" s="41">
        <f>SUM(E8:E17)</f>
        <v>870314.45</v>
      </c>
      <c r="F18" s="41">
        <f>SUM(F8:F17)</f>
        <v>473066.46</v>
      </c>
      <c r="G18" s="41">
        <f>SUM(G8:G17)</f>
        <v>7577.44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28256.7</v>
      </c>
      <c r="D21" s="95">
        <f>'DOE25'!G22</f>
        <v>0</v>
      </c>
      <c r="E21" s="95">
        <f>'DOE25'!H22</f>
        <v>786996.81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41258.67</v>
      </c>
      <c r="D22" s="95">
        <f>'DOE25'!G23</f>
        <v>0</v>
      </c>
      <c r="E22" s="95">
        <f>'DOE25'!H23</f>
        <v>4107.17</v>
      </c>
      <c r="F22" s="95">
        <f>'DOE25'!I23</f>
        <v>43689.45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412159.27</v>
      </c>
      <c r="D23" s="95">
        <f>'DOE25'!G24</f>
        <v>24383.86</v>
      </c>
      <c r="E23" s="95">
        <f>'DOE25'!H24</f>
        <v>30178.870000000003</v>
      </c>
      <c r="F23" s="95">
        <f>'DOE25'!I24</f>
        <v>3255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7302.7</v>
      </c>
      <c r="E24" s="95">
        <f>'DOE25'!H25</f>
        <v>0</v>
      </c>
      <c r="F24" s="95">
        <f>'DOE25'!I25</f>
        <v>21231.599999999999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173272.19</v>
      </c>
      <c r="D27" s="95">
        <f>'DOE25'!G28</f>
        <v>0</v>
      </c>
      <c r="E27" s="95">
        <f>'DOE25'!H28</f>
        <v>38065.86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706689.46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8600</v>
      </c>
      <c r="D29" s="95">
        <f>'DOE25'!G30</f>
        <v>0</v>
      </c>
      <c r="E29" s="95">
        <f>'DOE25'!H30</f>
        <v>10965.74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1903.89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1372140.18</v>
      </c>
      <c r="D31" s="41">
        <f>SUM(D21:D30)</f>
        <v>31686.560000000001</v>
      </c>
      <c r="E31" s="41">
        <f>SUM(E21:E30)</f>
        <v>870314.45000000007</v>
      </c>
      <c r="F31" s="41">
        <f>SUM(F21:F30)</f>
        <v>68176.049999999988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26833.89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76571.5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106859.15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1171716.24</v>
      </c>
      <c r="D44" s="95">
        <f>'DOE25'!G45</f>
        <v>0</v>
      </c>
      <c r="E44" s="95">
        <f>'DOE25'!H45</f>
        <v>209846.12</v>
      </c>
      <c r="F44" s="95">
        <f>'DOE25'!I45</f>
        <v>146065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615131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-209846.12</v>
      </c>
      <c r="F47" s="95">
        <f>'DOE25'!I48</f>
        <v>258825.41</v>
      </c>
      <c r="G47" s="95">
        <f>'DOE25'!J48</f>
        <v>7577.44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10876911.310000001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12767163.940000001</v>
      </c>
      <c r="D50" s="41">
        <f>SUM(D34:D49)</f>
        <v>106859.15</v>
      </c>
      <c r="E50" s="41">
        <f>SUM(E34:E49)</f>
        <v>0</v>
      </c>
      <c r="F50" s="41">
        <f>SUM(F34:F49)</f>
        <v>404890.41000000003</v>
      </c>
      <c r="G50" s="41">
        <f>SUM(G34:G49)</f>
        <v>7577.44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14139304.120000001</v>
      </c>
      <c r="D51" s="41">
        <f>D50+D31</f>
        <v>138545.71</v>
      </c>
      <c r="E51" s="41">
        <f>E50+E31</f>
        <v>870314.45000000007</v>
      </c>
      <c r="F51" s="41">
        <f>F50+F31</f>
        <v>473066.46</v>
      </c>
      <c r="G51" s="41">
        <f>G50+G31</f>
        <v>7577.44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21337757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7515702.0699999994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44424.58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695162.10000000009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55114.23</v>
      </c>
      <c r="D61" s="95">
        <f>SUM('DOE25'!G98:G110)</f>
        <v>0</v>
      </c>
      <c r="E61" s="95">
        <f>SUM('DOE25'!H98:H110)</f>
        <v>57899.490000000005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7615240.8799999999</v>
      </c>
      <c r="D62" s="130">
        <f>SUM(D57:D61)</f>
        <v>695162.10000000009</v>
      </c>
      <c r="E62" s="130">
        <f>SUM(E57:E61)</f>
        <v>57899.490000000005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28952997.879999999</v>
      </c>
      <c r="D63" s="22">
        <f>D56+D62</f>
        <v>695162.10000000009</v>
      </c>
      <c r="E63" s="22">
        <f>E56+E62</f>
        <v>57899.490000000005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6951957.8499999996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3267493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28614.36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10248065.209999999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282695.82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346827.15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23344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13628.85</v>
      </c>
      <c r="E77" s="95">
        <f>SUM('DOE25'!H131:H135)</f>
        <v>214199.54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652866.97</v>
      </c>
      <c r="D78" s="130">
        <f>SUM(D72:D77)</f>
        <v>13628.85</v>
      </c>
      <c r="E78" s="130">
        <f>SUM(E72:E77)</f>
        <v>214199.54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10900932.18</v>
      </c>
      <c r="D81" s="130">
        <f>SUM(D79:D80)+D78+D70</f>
        <v>13628.85</v>
      </c>
      <c r="E81" s="130">
        <f>SUM(E79:E80)+E78+E70</f>
        <v>214199.54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311974.52</v>
      </c>
      <c r="D88" s="95">
        <f>SUM('DOE25'!G153:G161)</f>
        <v>262115.72999999998</v>
      </c>
      <c r="E88" s="95">
        <f>SUM('DOE25'!H153:H161)</f>
        <v>1087312.8600000001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63760.380000000005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311974.52</v>
      </c>
      <c r="D91" s="131">
        <f>SUM(D85:D90)</f>
        <v>325876.11</v>
      </c>
      <c r="E91" s="131">
        <f>SUM(E85:E90)</f>
        <v>1087312.8600000001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421.64</v>
      </c>
      <c r="E96" s="95">
        <f>'DOE25'!H179</f>
        <v>0</v>
      </c>
      <c r="F96" s="95">
        <f>'DOE25'!I179</f>
        <v>145340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126348.73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126348.73</v>
      </c>
      <c r="D103" s="86">
        <f>SUM(D93:D102)</f>
        <v>421.64</v>
      </c>
      <c r="E103" s="86">
        <f>SUM(E93:E102)</f>
        <v>0</v>
      </c>
      <c r="F103" s="86">
        <f>SUM(F93:F102)</f>
        <v>145340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40292253.310000002</v>
      </c>
      <c r="D104" s="86">
        <f>D63+D81+D91+D103</f>
        <v>1035088.7000000001</v>
      </c>
      <c r="E104" s="86">
        <f>E63+E81+E91+E103</f>
        <v>1359411.8900000001</v>
      </c>
      <c r="F104" s="86">
        <f>F63+F81+F91+F103</f>
        <v>145340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16453137.93</v>
      </c>
      <c r="D109" s="24" t="s">
        <v>286</v>
      </c>
      <c r="E109" s="95">
        <f>('DOE25'!L276)+('DOE25'!L295)+('DOE25'!L314)</f>
        <v>347546.44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8114709.0500000007</v>
      </c>
      <c r="D110" s="24" t="s">
        <v>286</v>
      </c>
      <c r="E110" s="95">
        <f>('DOE25'!L277)+('DOE25'!L296)+('DOE25'!L315)</f>
        <v>583167.30999999994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124682.92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907380.91</v>
      </c>
      <c r="D112" s="24" t="s">
        <v>286</v>
      </c>
      <c r="E112" s="95">
        <f>+('DOE25'!L279)+('DOE25'!L298)+('DOE25'!L317)</f>
        <v>14315.99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100945.18000000001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25599910.810000002</v>
      </c>
      <c r="D115" s="86">
        <f>SUM(D109:D114)</f>
        <v>0</v>
      </c>
      <c r="E115" s="86">
        <f>SUM(E109:E114)</f>
        <v>1045974.92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2052626.56</v>
      </c>
      <c r="D118" s="24" t="s">
        <v>286</v>
      </c>
      <c r="E118" s="95">
        <f>+('DOE25'!L281)+('DOE25'!L300)+('DOE25'!L319)</f>
        <v>6349.2500000000009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838466.5</v>
      </c>
      <c r="D119" s="24" t="s">
        <v>286</v>
      </c>
      <c r="E119" s="95">
        <f>+('DOE25'!L282)+('DOE25'!L301)+('DOE25'!L320)</f>
        <v>141028.99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1663112.47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2406477.1800000002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3463.36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3468641.63</v>
      </c>
      <c r="D123" s="24" t="s">
        <v>286</v>
      </c>
      <c r="E123" s="95">
        <f>+('DOE25'!L286)+('DOE25'!L305)+('DOE25'!L324)</f>
        <v>162495.37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1852367.88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39568.200000000004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1082235.3799999999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12321260.419999998</v>
      </c>
      <c r="D128" s="86">
        <f>SUM(D118:D127)</f>
        <v>1082235.3799999999</v>
      </c>
      <c r="E128" s="86">
        <f>SUM(E118:E127)</f>
        <v>313336.96999999997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849</v>
      </c>
      <c r="D130" s="24" t="s">
        <v>286</v>
      </c>
      <c r="E130" s="129">
        <f>'DOE25'!L336</f>
        <v>0</v>
      </c>
      <c r="F130" s="129">
        <f>SUM('DOE25'!L374:'DOE25'!L380)</f>
        <v>1193691.1499999999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590000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101462.5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100</v>
      </c>
      <c r="F134" s="95">
        <f>'DOE25'!K381</f>
        <v>126348.73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421.64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145340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838073.14</v>
      </c>
      <c r="D144" s="141">
        <f>SUM(D130:D143)</f>
        <v>0</v>
      </c>
      <c r="E144" s="141">
        <f>SUM(E130:E143)</f>
        <v>100</v>
      </c>
      <c r="F144" s="141">
        <f>SUM(F130:F143)</f>
        <v>1320039.8799999999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38759244.370000005</v>
      </c>
      <c r="D145" s="86">
        <f>(D115+D128+D144)</f>
        <v>1082235.3799999999</v>
      </c>
      <c r="E145" s="86">
        <f>(E115+E128+E144)</f>
        <v>1359411.8900000001</v>
      </c>
      <c r="F145" s="86">
        <f>(F115+F128+F144)</f>
        <v>1320039.8799999999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6015000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2860000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590000</v>
      </c>
    </row>
    <row r="159" spans="1:9" x14ac:dyDescent="0.2">
      <c r="A159" s="22" t="s">
        <v>35</v>
      </c>
      <c r="B159" s="137">
        <f>'DOE25'!F498</f>
        <v>2270000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2270000</v>
      </c>
    </row>
    <row r="160" spans="1:9" x14ac:dyDescent="0.2">
      <c r="A160" s="22" t="s">
        <v>36</v>
      </c>
      <c r="B160" s="137">
        <f>'DOE25'!F499</f>
        <v>189713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189713</v>
      </c>
    </row>
    <row r="161" spans="1:7" x14ac:dyDescent="0.2">
      <c r="A161" s="22" t="s">
        <v>37</v>
      </c>
      <c r="B161" s="137">
        <f>'DOE25'!F500</f>
        <v>2459713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2459713</v>
      </c>
    </row>
    <row r="162" spans="1:7" x14ac:dyDescent="0.2">
      <c r="A162" s="22" t="s">
        <v>38</v>
      </c>
      <c r="B162" s="137">
        <f>'DOE25'!F501</f>
        <v>580000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580000</v>
      </c>
    </row>
    <row r="163" spans="1:7" x14ac:dyDescent="0.2">
      <c r="A163" s="22" t="s">
        <v>39</v>
      </c>
      <c r="B163" s="137">
        <f>'DOE25'!F502</f>
        <v>81975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81975</v>
      </c>
    </row>
    <row r="164" spans="1:7" x14ac:dyDescent="0.2">
      <c r="A164" s="22" t="s">
        <v>246</v>
      </c>
      <c r="B164" s="137">
        <f>'DOE25'!F503</f>
        <v>661975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661975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Goffstown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13667</v>
      </c>
    </row>
    <row r="5" spans="1:4" x14ac:dyDescent="0.2">
      <c r="B5" t="s">
        <v>698</v>
      </c>
      <c r="C5" s="179">
        <f>IF('DOE25'!G665+'DOE25'!G670=0,0,ROUND('DOE25'!G672,0))</f>
        <v>13157</v>
      </c>
    </row>
    <row r="6" spans="1:4" x14ac:dyDescent="0.2">
      <c r="B6" t="s">
        <v>62</v>
      </c>
      <c r="C6" s="179">
        <f>IF('DOE25'!H665+'DOE25'!H670=0,0,ROUND('DOE25'!H672,0))</f>
        <v>13784</v>
      </c>
    </row>
    <row r="7" spans="1:4" x14ac:dyDescent="0.2">
      <c r="B7" t="s">
        <v>699</v>
      </c>
      <c r="C7" s="179">
        <f>IF('DOE25'!I665+'DOE25'!I670=0,0,ROUND('DOE25'!I672,0))</f>
        <v>13554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16800684</v>
      </c>
      <c r="D10" s="182">
        <f>ROUND((C10/$C$28)*100,1)</f>
        <v>42.2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8697876</v>
      </c>
      <c r="D11" s="182">
        <f>ROUND((C11/$C$28)*100,1)</f>
        <v>21.9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124683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921697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2058976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979495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1702681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2406477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3463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3631137</v>
      </c>
      <c r="D20" s="182">
        <f t="shared" si="0"/>
        <v>9.1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1852368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100945</v>
      </c>
      <c r="D24" s="182">
        <f t="shared" si="0"/>
        <v>0.3</v>
      </c>
    </row>
    <row r="25" spans="1:4" x14ac:dyDescent="0.2">
      <c r="A25">
        <v>5120</v>
      </c>
      <c r="B25" t="s">
        <v>714</v>
      </c>
      <c r="C25" s="179">
        <f>ROUND('DOE25'!L261+'DOE25'!L342,0)</f>
        <v>101463</v>
      </c>
      <c r="D25" s="182">
        <f t="shared" si="0"/>
        <v>0.3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387072.89999999991</v>
      </c>
      <c r="D27" s="182">
        <f t="shared" si="0"/>
        <v>1</v>
      </c>
    </row>
    <row r="28" spans="1:4" x14ac:dyDescent="0.2">
      <c r="B28" s="187" t="s">
        <v>717</v>
      </c>
      <c r="C28" s="180">
        <f>SUM(C10:C27)</f>
        <v>39769017.899999999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1194540</v>
      </c>
    </row>
    <row r="30" spans="1:4" x14ac:dyDescent="0.2">
      <c r="B30" s="187" t="s">
        <v>723</v>
      </c>
      <c r="C30" s="180">
        <f>SUM(C28:C29)</f>
        <v>40963557.899999999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590000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21337757</v>
      </c>
      <c r="D35" s="182">
        <f t="shared" ref="D35:D40" si="1">ROUND((C35/$C$41)*100,1)</f>
        <v>51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7673140.3699999973</v>
      </c>
      <c r="D36" s="182">
        <f t="shared" si="1"/>
        <v>18.3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10219451</v>
      </c>
      <c r="D37" s="182">
        <f t="shared" si="1"/>
        <v>24.4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909310</v>
      </c>
      <c r="D38" s="182">
        <f t="shared" si="1"/>
        <v>2.2000000000000002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1725163</v>
      </c>
      <c r="D39" s="182">
        <f t="shared" si="1"/>
        <v>4.0999999999999996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41864821.369999997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Goffstown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