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C114" i="2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E122" i="2" s="1"/>
  <c r="L324" i="1"/>
  <c r="L325" i="1"/>
  <c r="L326" i="1"/>
  <c r="L333" i="1"/>
  <c r="L334" i="1"/>
  <c r="L335" i="1"/>
  <c r="L260" i="1"/>
  <c r="C131" i="2" s="1"/>
  <c r="L261" i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F111" i="1"/>
  <c r="G111" i="1"/>
  <c r="G112" i="1" s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I147" i="1"/>
  <c r="F85" i="2" s="1"/>
  <c r="I162" i="1"/>
  <c r="I169" i="1" s="1"/>
  <c r="L250" i="1"/>
  <c r="C113" i="2" s="1"/>
  <c r="L332" i="1"/>
  <c r="E113" i="2" s="1"/>
  <c r="L254" i="1"/>
  <c r="C25" i="10"/>
  <c r="L268" i="1"/>
  <c r="C142" i="2" s="1"/>
  <c r="L269" i="1"/>
  <c r="C143" i="2" s="1"/>
  <c r="L349" i="1"/>
  <c r="L350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7" i="2"/>
  <c r="C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D115" i="2"/>
  <c r="F115" i="2"/>
  <c r="G115" i="2"/>
  <c r="E118" i="2"/>
  <c r="E124" i="2"/>
  <c r="C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F461" i="1" s="1"/>
  <c r="H639" i="1" s="1"/>
  <c r="G460" i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3" i="1"/>
  <c r="G644" i="1"/>
  <c r="G649" i="1"/>
  <c r="G650" i="1"/>
  <c r="G652" i="1"/>
  <c r="H652" i="1"/>
  <c r="G653" i="1"/>
  <c r="H653" i="1"/>
  <c r="G654" i="1"/>
  <c r="H654" i="1"/>
  <c r="H655" i="1"/>
  <c r="C26" i="10"/>
  <c r="D18" i="13"/>
  <c r="C18" i="13" s="1"/>
  <c r="D7" i="13"/>
  <c r="C7" i="13" s="1"/>
  <c r="D17" i="13"/>
  <c r="C17" i="13" s="1"/>
  <c r="E8" i="13"/>
  <c r="C8" i="13" s="1"/>
  <c r="F78" i="2"/>
  <c r="F81" i="2" s="1"/>
  <c r="G157" i="2"/>
  <c r="G161" i="2"/>
  <c r="G156" i="2"/>
  <c r="D19" i="13"/>
  <c r="C19" i="13" s="1"/>
  <c r="E78" i="2"/>
  <c r="E81" i="2" s="1"/>
  <c r="J571" i="1"/>
  <c r="L433" i="1"/>
  <c r="L419" i="1"/>
  <c r="H169" i="1"/>
  <c r="H476" i="1"/>
  <c r="H624" i="1" s="1"/>
  <c r="I476" i="1"/>
  <c r="H625" i="1" s="1"/>
  <c r="G476" i="1"/>
  <c r="H623" i="1" s="1"/>
  <c r="F169" i="1"/>
  <c r="F571" i="1"/>
  <c r="I552" i="1"/>
  <c r="K549" i="1"/>
  <c r="G22" i="2"/>
  <c r="K598" i="1"/>
  <c r="G647" i="1" s="1"/>
  <c r="J552" i="1"/>
  <c r="H140" i="1"/>
  <c r="L401" i="1"/>
  <c r="C139" i="2" s="1"/>
  <c r="F22" i="13"/>
  <c r="L560" i="1"/>
  <c r="F552" i="1"/>
  <c r="E16" i="13"/>
  <c r="C16" i="13" s="1"/>
  <c r="J655" i="1"/>
  <c r="I545" i="1"/>
  <c r="L565" i="1"/>
  <c r="G545" i="1"/>
  <c r="H545" i="1"/>
  <c r="C22" i="13"/>
  <c r="A40" i="12" l="1"/>
  <c r="A13" i="12"/>
  <c r="F662" i="1"/>
  <c r="L614" i="1"/>
  <c r="K605" i="1"/>
  <c r="G648" i="1" s="1"/>
  <c r="J649" i="1"/>
  <c r="I571" i="1"/>
  <c r="H571" i="1"/>
  <c r="K571" i="1"/>
  <c r="J545" i="1"/>
  <c r="K551" i="1"/>
  <c r="L534" i="1"/>
  <c r="G552" i="1"/>
  <c r="K550" i="1"/>
  <c r="L529" i="1"/>
  <c r="K545" i="1"/>
  <c r="G164" i="2"/>
  <c r="K503" i="1"/>
  <c r="F476" i="1"/>
  <c r="H622" i="1" s="1"/>
  <c r="J622" i="1" s="1"/>
  <c r="J476" i="1"/>
  <c r="H626" i="1" s="1"/>
  <c r="H461" i="1"/>
  <c r="H641" i="1" s="1"/>
  <c r="J641" i="1" s="1"/>
  <c r="I460" i="1"/>
  <c r="G461" i="1"/>
  <c r="H640" i="1" s="1"/>
  <c r="J640" i="1" s="1"/>
  <c r="I452" i="1"/>
  <c r="I446" i="1"/>
  <c r="G642" i="1" s="1"/>
  <c r="J639" i="1"/>
  <c r="L427" i="1"/>
  <c r="L434" i="1" s="1"/>
  <c r="G638" i="1" s="1"/>
  <c r="J638" i="1" s="1"/>
  <c r="I408" i="1"/>
  <c r="H408" i="1"/>
  <c r="H644" i="1" s="1"/>
  <c r="J644" i="1" s="1"/>
  <c r="G408" i="1"/>
  <c r="H645" i="1" s="1"/>
  <c r="F408" i="1"/>
  <c r="H643" i="1" s="1"/>
  <c r="J643" i="1" s="1"/>
  <c r="L393" i="1"/>
  <c r="C138" i="2" s="1"/>
  <c r="C29" i="10"/>
  <c r="F130" i="2"/>
  <c r="F144" i="2" s="1"/>
  <c r="F145" i="2" s="1"/>
  <c r="L382" i="1"/>
  <c r="G636" i="1" s="1"/>
  <c r="J636" i="1" s="1"/>
  <c r="J634" i="1"/>
  <c r="D127" i="2"/>
  <c r="D128" i="2" s="1"/>
  <c r="G661" i="1"/>
  <c r="H661" i="1"/>
  <c r="F661" i="1"/>
  <c r="D29" i="13"/>
  <c r="C29" i="13" s="1"/>
  <c r="L362" i="1"/>
  <c r="C27" i="10" s="1"/>
  <c r="D145" i="2"/>
  <c r="H25" i="13"/>
  <c r="C25" i="13" s="1"/>
  <c r="L351" i="1"/>
  <c r="E114" i="2"/>
  <c r="E125" i="2"/>
  <c r="H662" i="1"/>
  <c r="E123" i="2"/>
  <c r="L328" i="1"/>
  <c r="C12" i="10"/>
  <c r="F338" i="1"/>
  <c r="F352" i="1" s="1"/>
  <c r="E121" i="2"/>
  <c r="E120" i="2"/>
  <c r="E119" i="2"/>
  <c r="L309" i="1"/>
  <c r="C13" i="10"/>
  <c r="A31" i="12"/>
  <c r="E111" i="2"/>
  <c r="C11" i="10"/>
  <c r="H338" i="1"/>
  <c r="H352" i="1" s="1"/>
  <c r="G338" i="1"/>
  <c r="G352" i="1" s="1"/>
  <c r="J338" i="1"/>
  <c r="J352" i="1" s="1"/>
  <c r="E112" i="2"/>
  <c r="L290" i="1"/>
  <c r="E110" i="2"/>
  <c r="K338" i="1"/>
  <c r="K352" i="1" s="1"/>
  <c r="H33" i="13"/>
  <c r="C32" i="10"/>
  <c r="L256" i="1"/>
  <c r="G651" i="1"/>
  <c r="J651" i="1" s="1"/>
  <c r="C21" i="10"/>
  <c r="C20" i="10"/>
  <c r="C17" i="10"/>
  <c r="L247" i="1"/>
  <c r="D15" i="13"/>
  <c r="C15" i="13" s="1"/>
  <c r="C124" i="2"/>
  <c r="G662" i="1"/>
  <c r="C123" i="2"/>
  <c r="C19" i="10"/>
  <c r="C121" i="2"/>
  <c r="I257" i="1"/>
  <c r="I271" i="1" s="1"/>
  <c r="C120" i="2"/>
  <c r="C16" i="10"/>
  <c r="C15" i="10"/>
  <c r="C112" i="2"/>
  <c r="J257" i="1"/>
  <c r="J271" i="1" s="1"/>
  <c r="C111" i="2"/>
  <c r="H257" i="1"/>
  <c r="H271" i="1" s="1"/>
  <c r="L229" i="1"/>
  <c r="K257" i="1"/>
  <c r="K271" i="1" s="1"/>
  <c r="G257" i="1"/>
  <c r="G271" i="1" s="1"/>
  <c r="F257" i="1"/>
  <c r="F271" i="1" s="1"/>
  <c r="C10" i="10"/>
  <c r="D14" i="13"/>
  <c r="C14" i="13" s="1"/>
  <c r="H647" i="1"/>
  <c r="J647" i="1" s="1"/>
  <c r="E13" i="13"/>
  <c r="C13" i="13" s="1"/>
  <c r="C122" i="2"/>
  <c r="C18" i="10"/>
  <c r="D12" i="13"/>
  <c r="C12" i="13" s="1"/>
  <c r="D6" i="13"/>
  <c r="C6" i="13" s="1"/>
  <c r="C118" i="2"/>
  <c r="D5" i="13"/>
  <c r="C5" i="13" s="1"/>
  <c r="C109" i="2"/>
  <c r="L211" i="1"/>
  <c r="G645" i="1"/>
  <c r="J645" i="1" s="1"/>
  <c r="J140" i="1"/>
  <c r="J193" i="1" s="1"/>
  <c r="G646" i="1" s="1"/>
  <c r="G81" i="2"/>
  <c r="H192" i="1"/>
  <c r="H193" i="1" s="1"/>
  <c r="G629" i="1" s="1"/>
  <c r="J629" i="1" s="1"/>
  <c r="E103" i="2"/>
  <c r="J625" i="1"/>
  <c r="I52" i="1"/>
  <c r="H620" i="1" s="1"/>
  <c r="J620" i="1" s="1"/>
  <c r="F18" i="2"/>
  <c r="H112" i="1"/>
  <c r="E62" i="2"/>
  <c r="E63" i="2" s="1"/>
  <c r="G192" i="1"/>
  <c r="D91" i="2"/>
  <c r="D81" i="2"/>
  <c r="F192" i="1"/>
  <c r="C91" i="2"/>
  <c r="C78" i="2"/>
  <c r="C81" i="2" s="1"/>
  <c r="F112" i="1"/>
  <c r="C35" i="10"/>
  <c r="C62" i="2"/>
  <c r="C63" i="2" s="1"/>
  <c r="J624" i="1"/>
  <c r="D50" i="2"/>
  <c r="J623" i="1"/>
  <c r="D31" i="2"/>
  <c r="D51" i="2" s="1"/>
  <c r="D18" i="2"/>
  <c r="E31" i="2"/>
  <c r="H52" i="1"/>
  <c r="H619" i="1" s="1"/>
  <c r="J619" i="1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D103" i="2"/>
  <c r="I140" i="1"/>
  <c r="A22" i="12"/>
  <c r="G50" i="2"/>
  <c r="J652" i="1"/>
  <c r="G571" i="1"/>
  <c r="I434" i="1"/>
  <c r="G434" i="1"/>
  <c r="I663" i="1"/>
  <c r="K552" i="1" l="1"/>
  <c r="L545" i="1"/>
  <c r="I461" i="1"/>
  <c r="H642" i="1" s="1"/>
  <c r="J642" i="1" s="1"/>
  <c r="G51" i="2"/>
  <c r="L408" i="1"/>
  <c r="G637" i="1" s="1"/>
  <c r="J637" i="1" s="1"/>
  <c r="C141" i="2"/>
  <c r="C144" i="2" s="1"/>
  <c r="I661" i="1"/>
  <c r="G635" i="1"/>
  <c r="J635" i="1" s="1"/>
  <c r="I662" i="1"/>
  <c r="H660" i="1"/>
  <c r="H664" i="1" s="1"/>
  <c r="H667" i="1" s="1"/>
  <c r="E128" i="2"/>
  <c r="G660" i="1"/>
  <c r="G664" i="1" s="1"/>
  <c r="G667" i="1" s="1"/>
  <c r="L338" i="1"/>
  <c r="L352" i="1" s="1"/>
  <c r="G633" i="1" s="1"/>
  <c r="J633" i="1" s="1"/>
  <c r="E115" i="2"/>
  <c r="D31" i="13"/>
  <c r="C31" i="13" s="1"/>
  <c r="E33" i="13"/>
  <c r="D35" i="13" s="1"/>
  <c r="C128" i="2"/>
  <c r="L257" i="1"/>
  <c r="L271" i="1" s="1"/>
  <c r="G632" i="1" s="1"/>
  <c r="J632" i="1" s="1"/>
  <c r="C115" i="2"/>
  <c r="H648" i="1"/>
  <c r="J648" i="1" s="1"/>
  <c r="C28" i="10"/>
  <c r="D19" i="10" s="1"/>
  <c r="F660" i="1"/>
  <c r="G104" i="2"/>
  <c r="F104" i="2"/>
  <c r="I193" i="1"/>
  <c r="G630" i="1" s="1"/>
  <c r="J630" i="1" s="1"/>
  <c r="E104" i="2"/>
  <c r="D104" i="2"/>
  <c r="C104" i="2"/>
  <c r="F193" i="1"/>
  <c r="G627" i="1" s="1"/>
  <c r="J627" i="1" s="1"/>
  <c r="C36" i="10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72" i="1"/>
  <c r="C6" i="10" s="1"/>
  <c r="D33" i="13"/>
  <c r="D36" i="13" s="1"/>
  <c r="E145" i="2"/>
  <c r="G672" i="1"/>
  <c r="C5" i="10" s="1"/>
  <c r="C145" i="2"/>
  <c r="D23" i="10"/>
  <c r="D22" i="10"/>
  <c r="D24" i="10"/>
  <c r="D27" i="10"/>
  <c r="D18" i="10"/>
  <c r="D11" i="10"/>
  <c r="C30" i="10"/>
  <c r="D10" i="10"/>
  <c r="D21" i="10"/>
  <c r="D26" i="10"/>
  <c r="D12" i="10"/>
  <c r="D13" i="10"/>
  <c r="D17" i="10"/>
  <c r="D16" i="10"/>
  <c r="D20" i="10"/>
  <c r="D15" i="10"/>
  <c r="D25" i="10"/>
  <c r="F664" i="1"/>
  <c r="I660" i="1"/>
  <c r="I664" i="1" s="1"/>
  <c r="H656" i="1"/>
  <c r="C41" i="10"/>
  <c r="D38" i="10" s="1"/>
  <c r="D28" i="10" l="1"/>
  <c r="D37" i="10"/>
  <c r="D36" i="10"/>
  <c r="D35" i="10"/>
  <c r="D40" i="10"/>
  <c r="D39" i="10"/>
  <c r="D41" i="10" l="1"/>
  <c r="F672" i="1" l="1"/>
  <c r="C4" i="10" s="1"/>
  <c r="F667" i="1"/>
  <c r="I665" i="1"/>
  <c r="I672" i="1" l="1"/>
  <c r="C7" i="10" s="1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<sst xmlns="http://schemas.openxmlformats.org/spreadsheetml/2006/main" count="3961" uniqueCount="917">
  <si>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</si>
  <si>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</si>
  <si>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</si>
  <si>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</si>
  <si>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</si>
  <si>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</si>
  <si>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</si>
  <si>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</si>
  <si>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</si>
  <si>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</si>
  <si>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</si>
  <si>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</si>
  <si>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</si>
  <si>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</si>
  <si>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</si>
  <si>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</si>
  <si>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</si>
  <si>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</si>
  <si>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</si>
  <si>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</si>
  <si>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</si>
  <si>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</si>
  <si>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</si>
  <si>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</si>
  <si>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</si>
  <si>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</si>
  <si>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</si>
  <si>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</si>
  <si>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</si>
  <si>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</si>
  <si>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</si>
  <si>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</si>
  <si>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</si>
  <si>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</si>
  <si>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</si>
  <si>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</si>
  <si>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</si>
  <si>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</si>
  <si>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</si>
  <si>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</si>
  <si>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</si>
  <si>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</si>
  <si>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</si>
  <si>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</si>
  <si>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</si>
  <si>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</si>
  <si>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</si>
  <si>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</si>
  <si>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</si>
  <si>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</si>
  <si>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</si>
  <si>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</si>
  <si>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</si>
  <si>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</si>
  <si>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</si>
  <si>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</si>
  <si>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</si>
  <si>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</si>
  <si>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</si>
  <si>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</si>
  <si>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</si>
  <si>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</si>
  <si>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</si>
  <si>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</si>
  <si>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</si>
  <si>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</si>
  <si>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</si>
  <si>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</si>
  <si>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</si>
  <si>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</si>
  <si>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</si>
  <si>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</si>
  <si>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</si>
  <si>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</si>
  <si>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</si>
  <si>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</si>
  <si>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</si>
  <si>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</si>
  <si>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</si>
  <si>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</si>
  <si>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</si>
  <si>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</si>
  <si>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</si>
  <si>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</si>
  <si>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</si>
  <si>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</si>
  <si>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</si>
  <si>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</si>
  <si>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</si>
  <si>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</si>
  <si>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</si>
  <si>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</si>
  <si>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</si>
  <si>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</si>
  <si>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</si>
  <si>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</si>
  <si>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</si>
  <si>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</si>
  <si>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</si>
  <si>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</si>
  <si>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</si>
  <si>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</si>
  <si>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</si>
  <si>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</si>
  <si>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</si>
  <si>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</si>
  <si>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</si>
  <si>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</si>
  <si>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</si>
  <si>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</si>
  <si>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</si>
  <si>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</si>
  <si>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</si>
  <si>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</si>
  <si>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</si>
  <si>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</si>
  <si>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</si>
  <si>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</si>
  <si>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</si>
  <si>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</si>
  <si>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</si>
  <si>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</si>
  <si>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</si>
  <si>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</si>
  <si>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</si>
  <si>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</si>
  <si>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</si>
  <si>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</si>
  <si>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</si>
  <si>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</si>
  <si>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</si>
  <si>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</si>
  <si>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</si>
  <si>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</si>
  <si>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</si>
  <si>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</si>
  <si>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</si>
  <si>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</si>
  <si>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</si>
  <si>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</si>
  <si>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</si>
  <si>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</si>
  <si>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</si>
  <si>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</si>
  <si>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</si>
  <si>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</si>
  <si>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</si>
  <si>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</si>
  <si>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</si>
  <si>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</si>
  <si>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</si>
  <si>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</si>
  <si>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</si>
  <si>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</si>
  <si>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</si>
  <si>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</si>
  <si>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</si>
  <si>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</si>
  <si>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</si>
  <si>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</si>
  <si>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</si>
  <si>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</si>
  <si>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</si>
  <si>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</si>
  <si>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</si>
  <si>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</si>
  <si>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</si>
  <si>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</si>
  <si>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</si>
  <si>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</si>
  <si>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</si>
  <si>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</si>
  <si>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</si>
  <si>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</si>
  <si>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</si>
  <si>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</si>
  <si>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</si>
  <si>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</si>
  <si>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</si>
  <si>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</si>
  <si>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</si>
  <si>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</si>
  <si>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</si>
  <si>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</si>
  <si>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</si>
  <si>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</si>
  <si>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</si>
  <si>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</si>
  <si>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</si>
  <si>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</si>
  <si>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</si>
  <si>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</si>
  <si>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</si>
  <si>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</si>
  <si>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</si>
  <si>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</si>
  <si>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</si>
  <si>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</si>
  <si>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</si>
  <si>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</si>
  <si>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</si>
  <si>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</si>
  <si>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</si>
  <si>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</si>
  <si>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</si>
  <si>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</si>
  <si>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</si>
  <si>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</si>
  <si>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</si>
  <si>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</si>
  <si>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</si>
  <si>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</si>
  <si>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</si>
  <si>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</si>
  <si>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</si>
  <si>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</si>
  <si>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</si>
  <si>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</si>
  <si>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</si>
  <si>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</si>
  <si>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</si>
  <si>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</si>
  <si>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</si>
  <si>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</si>
  <si>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</si>
  <si>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</si>
  <si>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</si>
  <si>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</si>
  <si>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</si>
  <si>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</si>
  <si>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</si>
  <si>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</si>
  <si>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</si>
  <si>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</si>
  <si>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</si>
  <si>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</si>
  <si>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</si>
  <si>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</si>
  <si>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</si>
  <si>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</si>
  <si>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</si>
  <si>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</si>
  <si>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</si>
  <si>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</si>
  <si>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</si>
  <si>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</si>
  <si>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</si>
  <si>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</si>
  <si>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</si>
  <si>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</si>
  <si>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</si>
  <si>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</si>
  <si>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</si>
  <si>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</si>
  <si>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</si>
  <si>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</si>
  <si>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</si>
  <si>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</si>
  <si>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</si>
  <si>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</si>
  <si>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</si>
  <si>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</si>
  <si>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</si>
  <si>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</si>
  <si>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</si>
  <si>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</si>
  <si>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</si>
  <si>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</si>
  <si>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</si>
  <si>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</si>
  <si>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</si>
  <si>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</si>
  <si>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</si>
  <si>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</si>
  <si>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</si>
  <si>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</si>
  <si>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</si>
  <si>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</si>
  <si>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</si>
  <si>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</si>
  <si>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</si>
  <si>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</si>
  <si>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</si>
  <si>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</si>
  <si>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</si>
  <si>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</si>
  <si>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</si>
  <si>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</si>
  <si>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</si>
  <si>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</si>
  <si>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</si>
  <si>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</si>
  <si>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</si>
  <si>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</si>
  <si>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</si>
  <si>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</si>
  <si>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</si>
  <si>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</si>
  <si>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</si>
  <si>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</si>
  <si>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</si>
  <si>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</si>
  <si>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</si>
  <si>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</si>
  <si>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</si>
  <si>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</si>
  <si>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</si>
  <si>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</si>
  <si>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</si>
  <si>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</si>
  <si>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</si>
  <si>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</si>
  <si>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</si>
  <si>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</si>
  <si>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</si>
  <si>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</si>
  <si>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</si>
  <si>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</si>
  <si>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</si>
  <si>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</si>
  <si>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</si>
  <si>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</si>
  <si>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</si>
  <si>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</si>
  <si>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</si>
  <si>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</si>
  <si>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</si>
  <si>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</si>
  <si>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</si>
  <si>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</si>
  <si>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</si>
  <si>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</si>
  <si>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</si>
  <si>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</si>
  <si>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</si>
  <si>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</si>
  <si>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</si>
  <si>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</si>
  <si>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</si>
  <si>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</si>
  <si>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</si>
  <si>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</si>
  <si>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</si>
  <si>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</si>
  <si>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</si>
  <si>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</si>
  <si>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</si>
  <si>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</si>
  <si>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</si>
  <si>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</si>
  <si>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</si>
  <si>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</si>
  <si>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</si>
  <si>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</si>
  <si>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</si>
  <si>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</si>
  <si>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</si>
  <si>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</si>
  <si>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</si>
  <si>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</si>
  <si>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</si>
  <si>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</si>
  <si>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</si>
  <si>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</si>
  <si>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</si>
  <si>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</si>
  <si>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</si>
  <si>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</si>
  <si>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</si>
  <si>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</si>
  <si>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</si>
  <si>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</si>
  <si>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</si>
  <si>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</si>
  <si>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</si>
  <si>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</si>
  <si>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</si>
  <si>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</si>
  <si>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</si>
  <si>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</si>
  <si>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</si>
  <si>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</si>
  <si>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</si>
  <si>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</si>
  <si>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</si>
  <si>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</si>
  <si>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</si>
  <si>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</si>
  <si>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</si>
  <si>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</si>
  <si>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</si>
  <si>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</si>
  <si>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</si>
  <si>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</si>
  <si>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</si>
  <si>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</si>
  <si>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</si>
  <si>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</si>
  <si>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</si>
  <si>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</si>
  <si>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</si>
  <si>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</si>
  <si>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</si>
  <si>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</si>
  <si>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</si>
  <si>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</si>
  <si>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</si>
  <si>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</si>
  <si>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</si>
  <si>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</si>
  <si>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</si>
  <si>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</si>
  <si>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</si>
  <si>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</si>
  <si>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</si>
  <si>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</si>
  <si>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</si>
  <si>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</si>
  <si>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</si>
  <si>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</si>
  <si>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</si>
  <si>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</si>
  <si>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</si>
  <si>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</si>
  <si>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</si>
  <si>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</si>
  <si>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</si>
  <si>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</si>
  <si>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</si>
  <si>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</si>
  <si>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</si>
  <si>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</si>
  <si>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</si>
  <si>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</si>
  <si>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</si>
  <si>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</si>
  <si>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</si>
  <si>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</si>
  <si>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</si>
  <si>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</si>
  <si>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</si>
  <si>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</si>
  <si>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</si>
  <si>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</si>
  <si>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</si>
  <si>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</si>
  <si>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</si>
  <si>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</si>
  <si>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</si>
  <si>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</si>
  <si>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</si>
  <si>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</si>
  <si>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</si>
  <si>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</si>
  <si>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</si>
  <si>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</si>
  <si>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</si>
  <si>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</si>
  <si>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</si>
  <si>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</si>
  <si>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</si>
  <si>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</si>
  <si>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</si>
  <si>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</si>
  <si>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</si>
  <si>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</si>
  <si>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</si>
  <si>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</si>
  <si>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</si>
  <si>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</si>
  <si>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</si>
  <si>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</si>
  <si>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</si>
  <si>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</si>
  <si>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</si>
  <si>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</si>
  <si>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</si>
  <si>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</si>
  <si>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</si>
  <si>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</si>
  <si>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</si>
  <si>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</si>
  <si>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</si>
  <si>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</si>
  <si>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</si>
  <si>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</si>
  <si>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</si>
  <si>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</si>
  <si>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</si>
  <si>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</si>
  <si>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</si>
  <si>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</si>
  <si>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</si>
  <si>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</si>
  <si>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</si>
  <si>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</si>
  <si>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</si>
  <si>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</si>
  <si>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</si>
  <si>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</si>
  <si>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</si>
  <si>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</si>
  <si>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</si>
  <si>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</si>
  <si>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</si>
  <si>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</si>
  <si>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</si>
  <si>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</si>
  <si>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</si>
  <si>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</si>
  <si>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</si>
  <si>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</si>
  <si>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</si>
  <si>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</si>
  <si>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</si>
  <si>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</si>
  <si>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</si>
  <si>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</si>
  <si>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</si>
  <si>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</si>
  <si>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</si>
  <si>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</si>
  <si>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</si>
  <si>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</si>
  <si>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</si>
  <si>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</si>
  <si>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</si>
  <si>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</si>
  <si>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</si>
  <si>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</si>
  <si>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</si>
  <si>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</si>
  <si>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</si>
  <si>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</si>
  <si>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</si>
  <si>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</si>
  <si>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</si>
  <si>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</si>
  <si>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</si>
  <si>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</si>
  <si>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</si>
  <si>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</si>
  <si>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</si>
  <si>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</si>
  <si>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</si>
  <si>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</si>
  <si>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</si>
  <si>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</si>
  <si>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</si>
  <si>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</si>
  <si>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</si>
  <si>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</si>
  <si>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</si>
  <si>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</si>
  <si>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</si>
  <si>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</si>
  <si>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</si>
  <si>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</si>
  <si>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</si>
  <si>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</si>
  <si>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</si>
  <si>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</si>
  <si>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</si>
  <si>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</si>
  <si>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</si>
  <si>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</si>
  <si>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</si>
  <si>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</si>
  <si>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</si>
  <si>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</si>
  <si>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</si>
  <si>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</si>
  <si>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</si>
  <si>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</si>
  <si>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</si>
  <si>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</si>
  <si>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</si>
  <si>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</si>
  <si>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</si>
  <si>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</si>
  <si>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</si>
  <si>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</si>
  <si>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</si>
  <si>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</si>
  <si>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</si>
  <si>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</si>
  <si>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</si>
  <si>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</si>
  <si>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</si>
  <si>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</si>
  <si>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</si>
  <si>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</si>
  <si>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</si>
  <si>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</si>
  <si>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</si>
  <si>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</si>
  <si>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</si>
  <si>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</si>
  <si>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</si>
  <si>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</si>
  <si>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</si>
  <si>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</si>
  <si>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</si>
  <si>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</si>
  <si>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</si>
  <si>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</si>
  <si>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</si>
  <si>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</si>
  <si>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</si>
  <si>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</si>
  <si>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</si>
  <si>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</si>
  <si>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</si>
  <si>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</si>
  <si>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</si>
  <si>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</si>
  <si>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</si>
  <si>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</si>
  <si>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</si>
  <si>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</si>
  <si>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</si>
  <si>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</si>
  <si>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</si>
  <si>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</si>
  <si>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</si>
  <si>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</si>
  <si>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</si>
  <si>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</si>
  <si>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</si>
  <si>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</si>
  <si>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</si>
  <si>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</si>
  <si>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</si>
  <si>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</si>
  <si>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</si>
  <si>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</si>
  <si>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</si>
  <si>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</si>
  <si>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</si>
  <si>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</si>
  <si>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</si>
  <si>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</si>
  <si>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</si>
  <si>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</si>
  <si>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</si>
  <si>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</si>
  <si>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</si>
  <si>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</si>
  <si>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</si>
  <si>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</si>
  <si>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</si>
  <si>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</si>
  <si>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</si>
  <si>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</si>
  <si>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</si>
  <si>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</si>
  <si>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</si>
  <si>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</si>
  <si>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</si>
  <si>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</si>
  <si>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</si>
  <si>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</si>
  <si>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</si>
  <si>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</si>
  <si>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</si>
  <si>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</si>
  <si>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</si>
  <si>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</si>
  <si>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</si>
  <si>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</si>
  <si>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</si>
  <si>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</si>
  <si>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</si>
  <si>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</si>
  <si>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</si>
  <si>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</si>
  <si>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</si>
  <si>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</si>
  <si>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</si>
  <si>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</si>
  <si>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</si>
  <si>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</si>
  <si>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</si>
  <si>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</si>
  <si>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</si>
  <si>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</si>
  <si>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</si>
  <si>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</si>
  <si>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</si>
  <si>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</si>
  <si>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</si>
  <si>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</si>
  <si>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</si>
  <si>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</si>
  <si>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</si>
  <si>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</si>
  <si>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</si>
  <si>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</si>
  <si>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</si>
  <si>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</si>
  <si>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</si>
  <si>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</si>
  <si>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</si>
  <si>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</si>
  <si>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</si>
  <si>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</si>
  <si>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</si>
  <si>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</si>
  <si>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</si>
  <si>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</si>
  <si>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</si>
  <si>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</si>
  <si>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</si>
  <si>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</si>
  <si>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</si>
  <si>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</si>
  <si>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</si>
  <si>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</si>
  <si>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</si>
  <si>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</si>
  <si>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</si>
  <si>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</si>
  <si>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</si>
  <si>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</si>
  <si>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</si>
  <si>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</si>
  <si>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</si>
  <si>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</si>
  <si>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</si>
  <si>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</si>
  <si>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</si>
  <si>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</si>
  <si>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</si>
  <si>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</si>
  <si>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</si>
  <si>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</si>
  <si>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</si>
  <si>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</si>
  <si>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</si>
  <si>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</si>
  <si>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</si>
  <si>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</si>
  <si>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</si>
  <si>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</si>
  <si>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</si>
  <si>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</si>
  <si>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</si>
  <si>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</si>
  <si>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</si>
  <si>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</si>
  <si>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</si>
  <si>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</si>
  <si>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</si>
  <si>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</si>
  <si>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</si>
  <si>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</si>
  <si>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</si>
  <si>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</si>
  <si>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</si>
  <si>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</si>
  <si>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</si>
  <si>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</si>
  <si>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</si>
  <si>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</si>
  <si>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</si>
  <si>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</si>
  <si>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</si>
  <si>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</si>
  <si>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</si>
  <si>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</si>
  <si>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</si>
  <si>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</si>
  <si>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</si>
  <si>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</si>
  <si>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</si>
  <si>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</si>
  <si>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</si>
  <si>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</si>
  <si>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</si>
  <si>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</si>
  <si>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</si>
  <si>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</si>
  <si>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</si>
  <si>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</si>
  <si>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</si>
  <si>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</si>
  <si>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</si>
  <si>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</si>
  <si>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</si>
  <si>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</si>
  <si>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</si>
  <si>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</si>
  <si>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</si>
  <si>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</si>
  <si>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</si>
  <si>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</si>
  <si>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</si>
  <si>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</si>
  <si>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</si>
  <si>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</si>
  <si>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</si>
  <si>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</si>
  <si>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</si>
  <si>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</si>
  <si>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</si>
  <si>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</si>
  <si>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</si>
  <si>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</si>
  <si>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</si>
  <si>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</si>
  <si>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</si>
  <si>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</si>
  <si>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</si>
  <si>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</si>
  <si>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</si>
  <si>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</si>
  <si>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</si>
  <si>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</si>
  <si>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</si>
  <si>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</si>
  <si>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</si>
  <si>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</si>
  <si>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</si>
  <si>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</si>
  <si>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</si>
  <si>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</si>
  <si>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</si>
  <si>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</si>
  <si>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</si>
  <si>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</si>
  <si>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</si>
  <si>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</si>
  <si>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</si>
  <si>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</si>
  <si>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</si>
  <si>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</si>
  <si>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</si>
  <si>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</si>
  <si>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</si>
  <si>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</si>
  <si>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</si>
  <si>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</si>
  <si>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</si>
  <si>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</si>
  <si>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</si>
  <si>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</si>
  <si>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</si>
  <si>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</si>
  <si>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</si>
  <si>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</si>
  <si>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</si>
  <si>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</si>
  <si>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</si>
  <si>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</si>
  <si>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</si>
  <si>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</si>
  <si>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</si>
  <si>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</si>
  <si>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</si>
  <si>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</si>
  <si>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</si>
  <si>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</si>
  <si>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</si>
  <si>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</si>
  <si>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</si>
  <si>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</si>
  <si>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</si>
  <si>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</si>
  <si>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</si>
  <si>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</si>
  <si>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</si>
  <si>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</si>
  <si>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</si>
  <si>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</si>
  <si>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</si>
  <si>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</si>
  <si>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</si>
  <si>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</si>
  <si>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</si>
  <si>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</si>
  <si>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</si>
  <si>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</si>
  <si>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</si>
  <si>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</si>
  <si>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</si>
  <si>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</si>
  <si>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</si>
  <si>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</si>
  <si>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</si>
  <si>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</si>
  <si>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</si>
  <si>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</si>
  <si>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</si>
  <si>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</si>
  <si>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</si>
  <si>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</si>
  <si>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</si>
  <si>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</si>
  <si>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</si>
  <si>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</si>
  <si>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</si>
  <si>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</si>
  <si>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</si>
  <si>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</si>
  <si>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</si>
  <si>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</si>
  <si>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</si>
  <si>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</si>
  <si>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</si>
  <si>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</si>
  <si>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</si>
  <si>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</si>
  <si>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Governor Wentworth Regional School District</t>
  </si>
  <si>
    <t>07/09</t>
  </si>
  <si>
    <t>07/39</t>
  </si>
  <si>
    <t>07/10</t>
  </si>
  <si>
    <t>08/40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</si>
</sst>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208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574758.49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38239.19</v>
      </c>
      <c r="G12" s="18">
        <v>100181.1</v>
      </c>
      <c r="H12" s="18">
        <v>0</v>
      </c>
      <c r="I12" s="18">
        <v>0</v>
      </c>
      <c r="J12" s="67">
        <f>SUM(I441)</f>
        <v>44108.76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548397.4</v>
      </c>
      <c r="G13" s="18">
        <v>37800.99</v>
      </c>
      <c r="H13" s="18">
        <v>265323.12</v>
      </c>
      <c r="I13" s="18">
        <v>0</v>
      </c>
      <c r="J13" s="67">
        <f>SUM(I442)</f>
        <v>1546395.37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2893.27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33713.1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1198011.4500000002</v>
      </c>
      <c r="G19" s="41">
        <f>SUM(G9:G18)</f>
        <v>137982.09</v>
      </c>
      <c r="H19" s="41">
        <f>SUM(H9:H18)</f>
        <v>265323.12</v>
      </c>
      <c r="I19" s="41">
        <f>SUM(I9:I18)</f>
        <v>0</v>
      </c>
      <c r="J19" s="41">
        <f>SUM(J9:J18)</f>
        <v>1590504.1300000001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194158.27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0</v>
      </c>
      <c r="G24" s="18">
        <v>515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331889.59999999998</v>
      </c>
      <c r="G28" s="18">
        <v>19211.5</v>
      </c>
      <c r="H28" s="18">
        <v>26934.2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5374.54</v>
      </c>
      <c r="G30" s="18">
        <v>15381.81</v>
      </c>
      <c r="H30" s="18">
        <v>44230.65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337264.13999999996</v>
      </c>
      <c r="G32" s="41">
        <f>SUM(G22:G31)</f>
        <v>35108.31</v>
      </c>
      <c r="H32" s="41">
        <f>SUM(H22:H31)</f>
        <v>265323.12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33713.1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102873.78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60000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1590504.13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29591.040000000001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737443.17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860747.31</v>
      </c>
      <c r="G51" s="41">
        <f>SUM(G35:G50)</f>
        <v>102873.78</v>
      </c>
      <c r="H51" s="41">
        <f>SUM(H35:H50)</f>
        <v>0</v>
      </c>
      <c r="I51" s="41">
        <f>SUM(I35:I50)</f>
        <v>0</v>
      </c>
      <c r="J51" s="41">
        <f>SUM(J35:J50)</f>
        <v>1590504.13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1198011.45</v>
      </c>
      <c r="G52" s="41">
        <f>G51+G32</f>
        <v>137982.09</v>
      </c>
      <c r="H52" s="41">
        <f>H51+H32</f>
        <v>265323.12</v>
      </c>
      <c r="I52" s="41">
        <f>I51+I32</f>
        <v>0</v>
      </c>
      <c r="J52" s="41">
        <f>J51+J32</f>
        <v>1590504.13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29497764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29497764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2010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1591792.65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185074.28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183277.68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1962154.6099999999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693.65</v>
      </c>
      <c r="G96" s="18">
        <v>0</v>
      </c>
      <c r="H96" s="18">
        <v>0</v>
      </c>
      <c r="I96" s="18">
        <v>0</v>
      </c>
      <c r="J96" s="18">
        <v>35234.089999999997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445506.17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6263.44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2392.5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3485.36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580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173505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5332.53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134562.79999999999</v>
      </c>
      <c r="G110" s="18">
        <v>0</v>
      </c>
      <c r="H110" s="18">
        <v>0</v>
      </c>
      <c r="I110" s="18">
        <v>0</v>
      </c>
      <c r="J110" s="18">
        <v>10615.37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326235.28000000003</v>
      </c>
      <c r="G111" s="41">
        <f>SUM(G96:G110)</f>
        <v>445506.17</v>
      </c>
      <c r="H111" s="41">
        <f>SUM(H96:H110)</f>
        <v>0</v>
      </c>
      <c r="I111" s="41">
        <f>SUM(I96:I110)</f>
        <v>0</v>
      </c>
      <c r="J111" s="41">
        <f>SUM(J96:J110)</f>
        <v>46429.46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31786153.890000001</v>
      </c>
      <c r="G112" s="41">
        <f>G60+G111</f>
        <v>445506.17</v>
      </c>
      <c r="H112" s="41">
        <f>H60+H79+H94+H111</f>
        <v>0</v>
      </c>
      <c r="I112" s="41">
        <f>I60+I111</f>
        <v>0</v>
      </c>
      <c r="J112" s="41">
        <f>J60+J111</f>
        <v>46429.46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3675223.76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9930100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9754.7800000000007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13615078.539999999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1528728.44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309506.84999999998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181140.34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0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12565.56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2019375.6300000001</v>
      </c>
      <c r="G136" s="41">
        <f>SUM(G123:G135)</f>
        <v>12565.56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15634454.17</v>
      </c>
      <c r="G140" s="41">
        <f>G121+SUM(G136:G137)</f>
        <v>12565.56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640383.26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282067.19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139811.16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127872.6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471580.06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461072.94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227963.55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227963.55</v>
      </c>
      <c r="G162" s="41">
        <f>SUM(G150:G161)</f>
        <v>471580.06</v>
      </c>
      <c r="H162" s="41">
        <f>SUM(H150:H161)</f>
        <v>1651207.15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227963.55</v>
      </c>
      <c r="G169" s="41">
        <f>G147+G162+SUM(G163:G168)</f>
        <v>471580.06</v>
      </c>
      <c r="H169" s="41">
        <f>H147+H162+SUM(H163:H168)</f>
        <v>1651207.15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>
        <v>0</v>
      </c>
      <c r="I179" s="18">
        <v>0</v>
      </c>
      <c r="J179" s="18">
        <v>60000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47648571.609999999</v>
      </c>
      <c r="G193" s="47">
        <f>G112+G140+G169+G192</f>
        <v>929651.79</v>
      </c>
      <c r="H193" s="47">
        <f>H112+H140+H169+H192</f>
        <v>1651207.15</v>
      </c>
      <c r="I193" s="47">
        <f>I112+I140+I169+I192</f>
        <v>0</v>
      </c>
      <c r="J193" s="47">
        <f>J112+J140+J192</f>
        <v>106429.45999999999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5942172.4699999997</v>
      </c>
      <c r="G197" s="18">
        <v>3234128.32</v>
      </c>
      <c r="H197" s="18">
        <v>4950.88</v>
      </c>
      <c r="I197" s="18">
        <v>227386.28</v>
      </c>
      <c r="J197" s="18">
        <v>121697.5</v>
      </c>
      <c r="K197" s="18">
        <v>0</v>
      </c>
      <c r="L197" s="19">
        <f>SUM(F197:K197)</f>
        <v>9530335.4499999993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2712751.76</v>
      </c>
      <c r="G198" s="18">
        <v>1442604.97</v>
      </c>
      <c r="H198" s="18">
        <v>526386.51</v>
      </c>
      <c r="I198" s="18">
        <v>23986.31</v>
      </c>
      <c r="J198" s="18">
        <v>8260.59</v>
      </c>
      <c r="K198" s="18">
        <v>707.25</v>
      </c>
      <c r="L198" s="19">
        <f>SUM(F198:K198)</f>
        <v>4714697.3899999987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14513.12</v>
      </c>
      <c r="G200" s="18">
        <v>2130.88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16644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549722.81999999995</v>
      </c>
      <c r="G202" s="18">
        <v>332487.03999999998</v>
      </c>
      <c r="H202" s="18">
        <v>177310.01</v>
      </c>
      <c r="I202" s="18">
        <v>6214.54</v>
      </c>
      <c r="J202" s="18">
        <v>278.62</v>
      </c>
      <c r="K202" s="18">
        <v>0</v>
      </c>
      <c r="L202" s="19">
        <f t="shared" ref="L202:L208" si="0">SUM(F202:K202)</f>
        <v>1066013.03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420241.89</v>
      </c>
      <c r="G203" s="18">
        <v>282386.34999999998</v>
      </c>
      <c r="H203" s="18">
        <v>38705.72</v>
      </c>
      <c r="I203" s="18">
        <v>91398.52</v>
      </c>
      <c r="J203" s="18">
        <v>26017.42</v>
      </c>
      <c r="K203" s="18">
        <v>165</v>
      </c>
      <c r="L203" s="19">
        <f t="shared" si="0"/>
        <v>858914.9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287786.90000000002</v>
      </c>
      <c r="G204" s="18">
        <v>135950.6</v>
      </c>
      <c r="H204" s="18">
        <v>42098.93</v>
      </c>
      <c r="I204" s="18">
        <v>13055.98</v>
      </c>
      <c r="J204" s="18">
        <v>897.86</v>
      </c>
      <c r="K204" s="18">
        <v>4651.22</v>
      </c>
      <c r="L204" s="19">
        <f t="shared" si="0"/>
        <v>484441.48999999993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804845.08</v>
      </c>
      <c r="G205" s="18">
        <v>523239.61</v>
      </c>
      <c r="H205" s="18">
        <v>138667.93</v>
      </c>
      <c r="I205" s="18">
        <v>5062.3599999999997</v>
      </c>
      <c r="J205" s="18">
        <v>9550.14</v>
      </c>
      <c r="K205" s="18">
        <v>1782</v>
      </c>
      <c r="L205" s="19">
        <f t="shared" si="0"/>
        <v>1483147.1199999999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166451.67000000001</v>
      </c>
      <c r="G206" s="18">
        <v>79820.639999999999</v>
      </c>
      <c r="H206" s="18">
        <v>16285.07</v>
      </c>
      <c r="I206" s="18">
        <v>6931.68</v>
      </c>
      <c r="J206" s="18">
        <v>395.62</v>
      </c>
      <c r="K206" s="18">
        <v>7170.18</v>
      </c>
      <c r="L206" s="19">
        <f t="shared" si="0"/>
        <v>277054.86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648485</v>
      </c>
      <c r="G207" s="18">
        <v>383045.07</v>
      </c>
      <c r="H207" s="18">
        <v>447457.58</v>
      </c>
      <c r="I207" s="18">
        <v>315279.86</v>
      </c>
      <c r="J207" s="18">
        <v>28538.33</v>
      </c>
      <c r="K207" s="18">
        <v>0</v>
      </c>
      <c r="L207" s="19">
        <f t="shared" si="0"/>
        <v>1822805.8400000003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841913.9</v>
      </c>
      <c r="G208" s="18">
        <v>330186.94</v>
      </c>
      <c r="H208" s="18">
        <v>91209.85</v>
      </c>
      <c r="I208" s="18">
        <v>108085.94500000001</v>
      </c>
      <c r="J208" s="18">
        <v>118238.5</v>
      </c>
      <c r="K208" s="18">
        <v>0</v>
      </c>
      <c r="L208" s="19">
        <f t="shared" si="0"/>
        <v>1489635.1350000002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12388884.610000001</v>
      </c>
      <c r="G211" s="41">
        <f t="shared" si="1"/>
        <v>6745980.4199999999</v>
      </c>
      <c r="H211" s="41">
        <f t="shared" si="1"/>
        <v>1483072.48</v>
      </c>
      <c r="I211" s="41">
        <f t="shared" si="1"/>
        <v>797401.47500000009</v>
      </c>
      <c r="J211" s="41">
        <f t="shared" si="1"/>
        <v>313874.58</v>
      </c>
      <c r="K211" s="41">
        <f t="shared" si="1"/>
        <v>14475.650000000001</v>
      </c>
      <c r="L211" s="41">
        <f t="shared" si="1"/>
        <v>21743689.215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2221540.46</v>
      </c>
      <c r="G215" s="18">
        <v>1552364.55</v>
      </c>
      <c r="H215" s="18">
        <v>16888.63</v>
      </c>
      <c r="I215" s="18">
        <v>72404.42</v>
      </c>
      <c r="J215" s="18">
        <v>104279.14</v>
      </c>
      <c r="K215" s="18">
        <v>0</v>
      </c>
      <c r="L215" s="19">
        <f>SUM(F215:K215)</f>
        <v>3967477.1999999997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857562.31</v>
      </c>
      <c r="G216" s="18">
        <v>483242</v>
      </c>
      <c r="H216" s="18">
        <v>150306.23000000001</v>
      </c>
      <c r="I216" s="18">
        <v>4747.4399999999996</v>
      </c>
      <c r="J216" s="18">
        <v>6557.3</v>
      </c>
      <c r="K216" s="18">
        <v>282.89999999999998</v>
      </c>
      <c r="L216" s="19">
        <f>SUM(F216:K216)</f>
        <v>1502698.18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59287.92</v>
      </c>
      <c r="G218" s="18">
        <v>8776.42</v>
      </c>
      <c r="H218" s="18">
        <v>14822.16</v>
      </c>
      <c r="I218" s="18">
        <v>4642.59</v>
      </c>
      <c r="J218" s="18">
        <v>28996.81</v>
      </c>
      <c r="K218" s="18">
        <v>0</v>
      </c>
      <c r="L218" s="19">
        <f>SUM(F218:K218)</f>
        <v>116525.9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162918.89000000001</v>
      </c>
      <c r="G220" s="18">
        <v>121441.98</v>
      </c>
      <c r="H220" s="18">
        <v>60790.35</v>
      </c>
      <c r="I220" s="18">
        <v>1598.21</v>
      </c>
      <c r="J220" s="18">
        <v>4280.2700000000004</v>
      </c>
      <c r="K220" s="18">
        <v>229</v>
      </c>
      <c r="L220" s="19">
        <f t="shared" ref="L220:L226" si="2">SUM(F220:K220)</f>
        <v>351258.7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88783.41</v>
      </c>
      <c r="G221" s="18">
        <v>96017.2</v>
      </c>
      <c r="H221" s="18">
        <v>17460.46</v>
      </c>
      <c r="I221" s="18">
        <v>36445.5</v>
      </c>
      <c r="J221" s="18">
        <v>19846.57</v>
      </c>
      <c r="K221" s="18">
        <v>44</v>
      </c>
      <c r="L221" s="19">
        <f t="shared" si="2"/>
        <v>258597.13999999998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79304.039999999994</v>
      </c>
      <c r="G222" s="18">
        <v>45188.97</v>
      </c>
      <c r="H222" s="18">
        <v>16442.57</v>
      </c>
      <c r="I222" s="18">
        <v>5222.3999999999996</v>
      </c>
      <c r="J222" s="18">
        <v>359.14</v>
      </c>
      <c r="K222" s="18">
        <v>1860.49</v>
      </c>
      <c r="L222" s="19">
        <f t="shared" si="2"/>
        <v>148377.60999999999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287158.74</v>
      </c>
      <c r="G223" s="18">
        <v>177350.82</v>
      </c>
      <c r="H223" s="18">
        <v>44473.93</v>
      </c>
      <c r="I223" s="18">
        <v>2952.12</v>
      </c>
      <c r="J223" s="18">
        <v>2228.2399999999998</v>
      </c>
      <c r="K223" s="18">
        <v>1385</v>
      </c>
      <c r="L223" s="19">
        <f t="shared" si="2"/>
        <v>515548.85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51170.06</v>
      </c>
      <c r="G224" s="18">
        <v>27481.59</v>
      </c>
      <c r="H224" s="18">
        <v>6514.03</v>
      </c>
      <c r="I224" s="18">
        <v>2772.66</v>
      </c>
      <c r="J224" s="18">
        <v>158.25</v>
      </c>
      <c r="K224" s="18">
        <v>2868.08</v>
      </c>
      <c r="L224" s="19">
        <f t="shared" si="2"/>
        <v>90964.67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158878.9</v>
      </c>
      <c r="G225" s="18">
        <v>125070.25</v>
      </c>
      <c r="H225" s="18">
        <v>119772.52</v>
      </c>
      <c r="I225" s="18">
        <v>146647.97</v>
      </c>
      <c r="J225" s="18">
        <v>4892.4399999999996</v>
      </c>
      <c r="K225" s="18">
        <v>0</v>
      </c>
      <c r="L225" s="19">
        <f t="shared" si="2"/>
        <v>555262.07999999996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55155.37</v>
      </c>
      <c r="G226" s="18">
        <v>134832.44</v>
      </c>
      <c r="H226" s="18">
        <v>36483.94</v>
      </c>
      <c r="I226" s="18">
        <v>52264.06</v>
      </c>
      <c r="J226" s="18">
        <v>47295.4</v>
      </c>
      <c r="K226" s="18">
        <v>0</v>
      </c>
      <c r="L226" s="19">
        <f t="shared" si="2"/>
        <v>326031.21000000002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4021760.1000000006</v>
      </c>
      <c r="G229" s="41">
        <f>SUM(G215:G228)</f>
        <v>2771766.22</v>
      </c>
      <c r="H229" s="41">
        <f>SUM(H215:H228)</f>
        <v>483954.82000000007</v>
      </c>
      <c r="I229" s="41">
        <f>SUM(I215:I228)</f>
        <v>329697.37</v>
      </c>
      <c r="J229" s="41">
        <f>SUM(J215:J228)</f>
        <v>218893.56</v>
      </c>
      <c r="K229" s="41">
        <f t="shared" si="3"/>
        <v>6669.4699999999993</v>
      </c>
      <c r="L229" s="41">
        <f t="shared" si="3"/>
        <v>7832741.54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3267613.54</v>
      </c>
      <c r="G233" s="18">
        <v>2514880.0499999998</v>
      </c>
      <c r="H233" s="18">
        <v>233321.27</v>
      </c>
      <c r="I233" s="18">
        <v>125223.86</v>
      </c>
      <c r="J233" s="18">
        <v>90598.36</v>
      </c>
      <c r="K233" s="18">
        <v>0</v>
      </c>
      <c r="L233" s="19">
        <f>SUM(F233:K233)</f>
        <v>6231637.0800000001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796579.22</v>
      </c>
      <c r="G234" s="18">
        <v>755543.65</v>
      </c>
      <c r="H234" s="18">
        <v>332429.93</v>
      </c>
      <c r="I234" s="18">
        <v>6176.74</v>
      </c>
      <c r="J234" s="18">
        <v>1395.05</v>
      </c>
      <c r="K234" s="18">
        <v>424.35</v>
      </c>
      <c r="L234" s="19">
        <f>SUM(F234:K234)</f>
        <v>1892548.9400000002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797233.8</v>
      </c>
      <c r="G235" s="18">
        <v>458072.65</v>
      </c>
      <c r="H235" s="18">
        <v>11666.78</v>
      </c>
      <c r="I235" s="18">
        <v>38765.78</v>
      </c>
      <c r="J235" s="18">
        <v>20297.45</v>
      </c>
      <c r="K235" s="18">
        <v>780</v>
      </c>
      <c r="L235" s="19">
        <f>SUM(F235:K235)</f>
        <v>1326816.4600000002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309457.26</v>
      </c>
      <c r="G236" s="18">
        <v>55349.39</v>
      </c>
      <c r="H236" s="18">
        <v>104024.7</v>
      </c>
      <c r="I236" s="18">
        <v>14190.31</v>
      </c>
      <c r="J236" s="18">
        <v>69362.62</v>
      </c>
      <c r="K236" s="18">
        <v>11396.5</v>
      </c>
      <c r="L236" s="19">
        <f>SUM(F236:K236)</f>
        <v>563780.78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450654.7</v>
      </c>
      <c r="G238" s="18">
        <v>260627.46</v>
      </c>
      <c r="H238" s="18">
        <v>63836.97</v>
      </c>
      <c r="I238" s="18">
        <v>6506.59</v>
      </c>
      <c r="J238" s="18">
        <v>3331.62</v>
      </c>
      <c r="K238" s="18">
        <v>127</v>
      </c>
      <c r="L238" s="19">
        <f t="shared" ref="L238:L244" si="4">SUM(F238:K238)</f>
        <v>785084.34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204018.43</v>
      </c>
      <c r="G239" s="18">
        <v>173364.98</v>
      </c>
      <c r="H239" s="18">
        <v>24824.48</v>
      </c>
      <c r="I239" s="18">
        <v>67950.289999999994</v>
      </c>
      <c r="J239" s="18">
        <v>29545.29</v>
      </c>
      <c r="K239" s="18">
        <v>1710.45</v>
      </c>
      <c r="L239" s="19">
        <f t="shared" si="4"/>
        <v>501413.92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152762.06</v>
      </c>
      <c r="G240" s="18">
        <v>85789.2</v>
      </c>
      <c r="H240" s="18">
        <v>24663.86</v>
      </c>
      <c r="I240" s="18">
        <v>7833.59</v>
      </c>
      <c r="J240" s="18">
        <v>538.72</v>
      </c>
      <c r="K240" s="18">
        <v>2790.73</v>
      </c>
      <c r="L240" s="19">
        <f t="shared" si="4"/>
        <v>274378.15999999997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443802.37</v>
      </c>
      <c r="G241" s="18">
        <v>313367.40999999997</v>
      </c>
      <c r="H241" s="18">
        <v>103253.82</v>
      </c>
      <c r="I241" s="18">
        <v>21760.74</v>
      </c>
      <c r="J241" s="18">
        <v>213.12</v>
      </c>
      <c r="K241" s="18">
        <v>1590</v>
      </c>
      <c r="L241" s="19">
        <f t="shared" si="4"/>
        <v>883987.46000000008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99330.31</v>
      </c>
      <c r="G242" s="18">
        <v>53037.96</v>
      </c>
      <c r="H242" s="18">
        <v>9771.0400000000009</v>
      </c>
      <c r="I242" s="18">
        <v>7860.69</v>
      </c>
      <c r="J242" s="18">
        <v>237.37</v>
      </c>
      <c r="K242" s="18">
        <v>4302.1099999999997</v>
      </c>
      <c r="L242" s="19">
        <f t="shared" si="4"/>
        <v>174539.47999999998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374252.71</v>
      </c>
      <c r="G243" s="18">
        <v>253851.41</v>
      </c>
      <c r="H243" s="18">
        <v>428561.5</v>
      </c>
      <c r="I243" s="18">
        <v>348925.11</v>
      </c>
      <c r="J243" s="18">
        <v>6963.66</v>
      </c>
      <c r="K243" s="18">
        <v>0</v>
      </c>
      <c r="L243" s="19">
        <f t="shared" si="4"/>
        <v>1412554.39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127555.35</v>
      </c>
      <c r="G244" s="18">
        <v>86095.12</v>
      </c>
      <c r="H244" s="18">
        <v>61093.81</v>
      </c>
      <c r="I244" s="18">
        <v>90913.86</v>
      </c>
      <c r="J244" s="18">
        <v>70943.100000000006</v>
      </c>
      <c r="K244" s="18">
        <v>0</v>
      </c>
      <c r="L244" s="19">
        <f t="shared" si="4"/>
        <v>436601.24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7023259.7499999981</v>
      </c>
      <c r="G247" s="41">
        <f t="shared" si="5"/>
        <v>5009979.28</v>
      </c>
      <c r="H247" s="41">
        <f t="shared" si="5"/>
        <v>1397448.16</v>
      </c>
      <c r="I247" s="41">
        <f t="shared" si="5"/>
        <v>736107.55999999994</v>
      </c>
      <c r="J247" s="41">
        <f t="shared" si="5"/>
        <v>293426.36</v>
      </c>
      <c r="K247" s="41">
        <f t="shared" si="5"/>
        <v>23121.140000000003</v>
      </c>
      <c r="L247" s="41">
        <f t="shared" si="5"/>
        <v>14483342.250000002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9472.48</v>
      </c>
      <c r="G251" s="18">
        <v>719.3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10191.779999999999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6902.45</v>
      </c>
      <c r="J253" s="18">
        <v>0</v>
      </c>
      <c r="K253" s="18">
        <v>0</v>
      </c>
      <c r="L253" s="19">
        <f t="shared" si="6"/>
        <v>6902.45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149999.98000000001</v>
      </c>
      <c r="K255" s="18">
        <v>0</v>
      </c>
      <c r="L255" s="19">
        <f t="shared" si="6"/>
        <v>149999.98000000001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9472.48</v>
      </c>
      <c r="G256" s="41">
        <f t="shared" si="7"/>
        <v>719.3</v>
      </c>
      <c r="H256" s="41">
        <f t="shared" si="7"/>
        <v>0</v>
      </c>
      <c r="I256" s="41">
        <f t="shared" si="7"/>
        <v>6902.45</v>
      </c>
      <c r="J256" s="41">
        <f t="shared" si="7"/>
        <v>149999.98000000001</v>
      </c>
      <c r="K256" s="41">
        <f t="shared" si="7"/>
        <v>0</v>
      </c>
      <c r="L256" s="41">
        <f>SUM(F256:K256)</f>
        <v>167094.21000000002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23443376.940000001</v>
      </c>
      <c r="G257" s="41">
        <f t="shared" si="8"/>
        <v>14528445.220000003</v>
      </c>
      <c r="H257" s="41">
        <f t="shared" si="8"/>
        <v>3364475.46</v>
      </c>
      <c r="I257" s="41">
        <f t="shared" si="8"/>
        <v>1870108.8550000002</v>
      </c>
      <c r="J257" s="41">
        <f t="shared" si="8"/>
        <v>976194.48</v>
      </c>
      <c r="K257" s="41">
        <f t="shared" si="8"/>
        <v>44266.260000000009</v>
      </c>
      <c r="L257" s="41">
        <f t="shared" si="8"/>
        <v>44226867.215000004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2624860.7999999998</v>
      </c>
      <c r="L260" s="19">
        <f>SUM(F260:K260)</f>
        <v>2624860.7999999998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1118295.79</v>
      </c>
      <c r="L261" s="19">
        <f>SUM(F261:K261)</f>
        <v>1118295.79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60000</v>
      </c>
      <c r="L266" s="19">
        <f t="shared" si="9"/>
        <v>60000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3803156.59</v>
      </c>
      <c r="L270" s="41">
        <f t="shared" si="9"/>
        <v>3803156.59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23443376.940000001</v>
      </c>
      <c r="G271" s="42">
        <f t="shared" si="11"/>
        <v>14528445.220000003</v>
      </c>
      <c r="H271" s="42">
        <f t="shared" si="11"/>
        <v>3364475.46</v>
      </c>
      <c r="I271" s="42">
        <f t="shared" si="11"/>
        <v>1870108.8550000002</v>
      </c>
      <c r="J271" s="42">
        <f t="shared" si="11"/>
        <v>976194.48</v>
      </c>
      <c r="K271" s="42">
        <f t="shared" si="11"/>
        <v>3847422.8499999996</v>
      </c>
      <c r="L271" s="42">
        <f t="shared" si="11"/>
        <v>48030023.805000007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295785.53000000003</v>
      </c>
      <c r="G276" s="18">
        <v>232239.23</v>
      </c>
      <c r="H276" s="18">
        <v>2448</v>
      </c>
      <c r="I276" s="18">
        <v>12557.08</v>
      </c>
      <c r="J276" s="18">
        <v>0</v>
      </c>
      <c r="K276" s="18">
        <v>0</v>
      </c>
      <c r="L276" s="19">
        <f>SUM(F276:K276)</f>
        <v>543029.84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149133.38</v>
      </c>
      <c r="G277" s="18">
        <v>65568.08</v>
      </c>
      <c r="H277" s="18">
        <v>13366</v>
      </c>
      <c r="I277" s="18">
        <v>1748.4</v>
      </c>
      <c r="J277" s="18">
        <v>9194.5</v>
      </c>
      <c r="K277" s="18">
        <v>0</v>
      </c>
      <c r="L277" s="19">
        <f>SUM(F277:K277)</f>
        <v>239010.36000000002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15460</v>
      </c>
      <c r="G279" s="18">
        <v>3445.44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18905.439999999999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12880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12880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71087.490000000005</v>
      </c>
      <c r="G282" s="18">
        <v>35430.589999999997</v>
      </c>
      <c r="H282" s="18">
        <v>133275.22</v>
      </c>
      <c r="I282" s="18">
        <v>43873.48</v>
      </c>
      <c r="J282" s="18">
        <v>1658.45</v>
      </c>
      <c r="K282" s="18">
        <v>0</v>
      </c>
      <c r="L282" s="19">
        <f t="shared" si="12"/>
        <v>285325.23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10893.14</v>
      </c>
      <c r="I287" s="18">
        <v>0</v>
      </c>
      <c r="J287" s="18">
        <v>0</v>
      </c>
      <c r="K287" s="18">
        <v>0</v>
      </c>
      <c r="L287" s="19">
        <f t="shared" si="12"/>
        <v>10893.14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531466.4</v>
      </c>
      <c r="G290" s="42">
        <f t="shared" si="13"/>
        <v>336683.33999999997</v>
      </c>
      <c r="H290" s="42">
        <f t="shared" si="13"/>
        <v>172862.36</v>
      </c>
      <c r="I290" s="42">
        <f t="shared" si="13"/>
        <v>58178.960000000006</v>
      </c>
      <c r="J290" s="42">
        <f t="shared" si="13"/>
        <v>10852.95</v>
      </c>
      <c r="K290" s="42">
        <f t="shared" si="13"/>
        <v>0</v>
      </c>
      <c r="L290" s="41">
        <f t="shared" si="13"/>
        <v>1110044.0099999998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26000.92</v>
      </c>
      <c r="G296" s="18">
        <v>26227.23</v>
      </c>
      <c r="H296" s="18">
        <v>5346.4</v>
      </c>
      <c r="I296" s="18">
        <v>699.36</v>
      </c>
      <c r="J296" s="18">
        <v>3677.8</v>
      </c>
      <c r="K296" s="18">
        <v>0</v>
      </c>
      <c r="L296" s="19">
        <f>SUM(F296:K296)</f>
        <v>61951.71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5152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5152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7371.95</v>
      </c>
      <c r="I301" s="18">
        <v>249.33</v>
      </c>
      <c r="J301" s="18">
        <v>663.38</v>
      </c>
      <c r="K301" s="18">
        <v>0</v>
      </c>
      <c r="L301" s="19">
        <f t="shared" si="14"/>
        <v>8284.66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26000.92</v>
      </c>
      <c r="G309" s="42">
        <f t="shared" si="15"/>
        <v>26227.23</v>
      </c>
      <c r="H309" s="42">
        <f t="shared" si="15"/>
        <v>17870.349999999999</v>
      </c>
      <c r="I309" s="42">
        <f t="shared" si="15"/>
        <v>948.69</v>
      </c>
      <c r="J309" s="42">
        <f t="shared" si="15"/>
        <v>4341.18</v>
      </c>
      <c r="K309" s="42">
        <f t="shared" si="15"/>
        <v>0</v>
      </c>
      <c r="L309" s="41">
        <f t="shared" si="15"/>
        <v>75388.37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v>1183.3599999999999</v>
      </c>
      <c r="J314" s="18">
        <v>0</v>
      </c>
      <c r="K314" s="18">
        <v>0</v>
      </c>
      <c r="L314" s="19">
        <f>SUM(F314:K314)</f>
        <v>1183.3599999999999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39001.39</v>
      </c>
      <c r="G315" s="18">
        <v>39340.85</v>
      </c>
      <c r="H315" s="18">
        <v>8019.6</v>
      </c>
      <c r="I315" s="18">
        <v>1049.03</v>
      </c>
      <c r="J315" s="18">
        <v>5516.7</v>
      </c>
      <c r="K315" s="18">
        <v>0</v>
      </c>
      <c r="L315" s="19">
        <f>SUM(F315:K315)</f>
        <v>92927.569999999992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37395.800000000003</v>
      </c>
      <c r="G316" s="18">
        <v>8281.5400000000009</v>
      </c>
      <c r="H316" s="18">
        <v>27730.799999999999</v>
      </c>
      <c r="I316" s="18">
        <v>17754.43</v>
      </c>
      <c r="J316" s="18">
        <v>43594.37</v>
      </c>
      <c r="K316" s="18">
        <v>0</v>
      </c>
      <c r="L316" s="19">
        <f>SUM(F316:K316)</f>
        <v>134756.94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7728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7728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0</v>
      </c>
      <c r="G320" s="18">
        <v>0</v>
      </c>
      <c r="H320" s="18">
        <v>11057.92</v>
      </c>
      <c r="I320" s="18">
        <v>374</v>
      </c>
      <c r="J320" s="18">
        <v>995.07</v>
      </c>
      <c r="K320" s="18">
        <v>7724.22</v>
      </c>
      <c r="L320" s="19">
        <f t="shared" si="16"/>
        <v>20151.21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56630</v>
      </c>
      <c r="G322" s="18">
        <v>39129.449999999997</v>
      </c>
      <c r="H322" s="18">
        <v>18380.02</v>
      </c>
      <c r="I322" s="18">
        <v>2246.86</v>
      </c>
      <c r="J322" s="18">
        <v>0</v>
      </c>
      <c r="K322" s="18">
        <v>0</v>
      </c>
      <c r="L322" s="19">
        <f t="shared" si="16"/>
        <v>116386.33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133027.19</v>
      </c>
      <c r="G328" s="42">
        <f t="shared" si="17"/>
        <v>86751.84</v>
      </c>
      <c r="H328" s="42">
        <f t="shared" si="17"/>
        <v>72916.34</v>
      </c>
      <c r="I328" s="42">
        <f t="shared" si="17"/>
        <v>22607.68</v>
      </c>
      <c r="J328" s="42">
        <f t="shared" si="17"/>
        <v>50106.14</v>
      </c>
      <c r="K328" s="42">
        <f t="shared" si="17"/>
        <v>7724.22</v>
      </c>
      <c r="L328" s="41">
        <f t="shared" si="17"/>
        <v>373133.41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3000</v>
      </c>
      <c r="G333" s="18">
        <v>535.5</v>
      </c>
      <c r="H333" s="18">
        <v>0</v>
      </c>
      <c r="I333" s="18">
        <v>4134.7299999999996</v>
      </c>
      <c r="J333" s="18">
        <v>449.99</v>
      </c>
      <c r="K333" s="18">
        <v>0</v>
      </c>
      <c r="L333" s="19">
        <f t="shared" si="18"/>
        <v>8120.2199999999993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37022.400000000001</v>
      </c>
      <c r="G335" s="18">
        <v>44986.6</v>
      </c>
      <c r="H335" s="18">
        <v>0</v>
      </c>
      <c r="I335" s="18">
        <v>329.45</v>
      </c>
      <c r="J335" s="18">
        <v>0</v>
      </c>
      <c r="K335" s="18">
        <v>0</v>
      </c>
      <c r="L335" s="19">
        <f t="shared" si="18"/>
        <v>82338.45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40022.400000000001</v>
      </c>
      <c r="G337" s="41">
        <f t="shared" si="19"/>
        <v>45522.1</v>
      </c>
      <c r="H337" s="41">
        <f t="shared" si="19"/>
        <v>0</v>
      </c>
      <c r="I337" s="41">
        <f t="shared" si="19"/>
        <v>4464.1799999999994</v>
      </c>
      <c r="J337" s="41">
        <f t="shared" si="19"/>
        <v>449.99</v>
      </c>
      <c r="K337" s="41">
        <f t="shared" si="19"/>
        <v>0</v>
      </c>
      <c r="L337" s="41">
        <f t="shared" si="18"/>
        <v>90458.67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730516.91</v>
      </c>
      <c r="G338" s="41">
        <f t="shared" si="20"/>
        <v>495184.50999999989</v>
      </c>
      <c r="H338" s="41">
        <f t="shared" si="20"/>
        <v>263649.05</v>
      </c>
      <c r="I338" s="41">
        <f t="shared" si="20"/>
        <v>86199.510000000009</v>
      </c>
      <c r="J338" s="41">
        <f t="shared" si="20"/>
        <v>65750.260000000009</v>
      </c>
      <c r="K338" s="41">
        <f t="shared" si="20"/>
        <v>7724.22</v>
      </c>
      <c r="L338" s="41">
        <f t="shared" si="20"/>
        <v>1649024.4599999997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2182.69</v>
      </c>
      <c r="L344" s="19">
        <f t="shared" ref="L344:L350" si="21">SUM(F344:K344)</f>
        <v>2182.69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2182.69</v>
      </c>
      <c r="L351" s="41">
        <f>SUM(L341:L350)</f>
        <v>2182.69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730516.91</v>
      </c>
      <c r="G352" s="41">
        <f>G338</f>
        <v>495184.50999999989</v>
      </c>
      <c r="H352" s="41">
        <f>H338</f>
        <v>263649.05</v>
      </c>
      <c r="I352" s="41">
        <f>I338</f>
        <v>86199.510000000009</v>
      </c>
      <c r="J352" s="41">
        <f>J338</f>
        <v>65750.260000000009</v>
      </c>
      <c r="K352" s="47">
        <f>K338+K351</f>
        <v>9906.91</v>
      </c>
      <c r="L352" s="41">
        <f>L338+L351</f>
        <v>1651207.1499999997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95100.21</v>
      </c>
      <c r="G358" s="18">
        <v>10518.3</v>
      </c>
      <c r="H358" s="18">
        <v>4045.09</v>
      </c>
      <c r="I358" s="18">
        <v>181315.16</v>
      </c>
      <c r="J358" s="18">
        <v>174.72</v>
      </c>
      <c r="K358" s="18">
        <v>0</v>
      </c>
      <c r="L358" s="13">
        <f>SUM(F358:K358)</f>
        <v>291153.48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114961.41</v>
      </c>
      <c r="G359" s="18">
        <v>13969.22</v>
      </c>
      <c r="H359" s="18">
        <v>1618.04</v>
      </c>
      <c r="I359" s="18">
        <v>72526.06</v>
      </c>
      <c r="J359" s="18">
        <v>0</v>
      </c>
      <c r="K359" s="18">
        <v>0</v>
      </c>
      <c r="L359" s="19">
        <f>SUM(F359:K359)</f>
        <v>203074.72999999998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249724.72</v>
      </c>
      <c r="G360" s="18">
        <v>37671.74</v>
      </c>
      <c r="H360" s="18">
        <v>2427.0500000000002</v>
      </c>
      <c r="I360" s="18">
        <v>108789.1</v>
      </c>
      <c r="J360" s="18">
        <v>0</v>
      </c>
      <c r="K360" s="18">
        <v>0</v>
      </c>
      <c r="L360" s="19">
        <f>SUM(F360:K360)</f>
        <v>398612.61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459786.33999999997</v>
      </c>
      <c r="G362" s="47">
        <f t="shared" si="22"/>
        <v>62159.259999999995</v>
      </c>
      <c r="H362" s="47">
        <f t="shared" si="22"/>
        <v>8090.18</v>
      </c>
      <c r="I362" s="47">
        <f t="shared" si="22"/>
        <v>362630.32</v>
      </c>
      <c r="J362" s="47">
        <f t="shared" si="22"/>
        <v>174.72</v>
      </c>
      <c r="K362" s="47">
        <f t="shared" si="22"/>
        <v>0</v>
      </c>
      <c r="L362" s="47">
        <f t="shared" si="22"/>
        <v>892840.82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177082.06</v>
      </c>
      <c r="G367" s="18">
        <v>71112.210000000006</v>
      </c>
      <c r="H367" s="18">
        <v>105969.86</v>
      </c>
      <c r="I367" s="56">
        <f>SUM(F367:H367)</f>
        <v>354164.13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4233.1000000000004</v>
      </c>
      <c r="G368" s="63">
        <v>1413.85</v>
      </c>
      <c r="H368" s="63">
        <v>2819.24</v>
      </c>
      <c r="I368" s="56">
        <f>SUM(F368:H368)</f>
        <v>8466.19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181315.16</v>
      </c>
      <c r="G369" s="47">
        <f>SUM(G367:G368)</f>
        <v>72526.060000000012</v>
      </c>
      <c r="H369" s="47">
        <f>SUM(H367:H368)</f>
        <v>108789.1</v>
      </c>
      <c r="I369" s="47">
        <f>SUM(I367:I368)</f>
        <v>362630.32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0</v>
      </c>
      <c r="H396" s="18">
        <v>2328</v>
      </c>
      <c r="I396" s="18">
        <v>0</v>
      </c>
      <c r="J396" s="24" t="s">
        <v>286</v>
      </c>
      <c r="K396" s="24" t="s">
        <v>286</v>
      </c>
      <c r="L396" s="56">
        <f t="shared" si="26"/>
        <v>2328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0</v>
      </c>
      <c r="H397" s="18">
        <v>2471.81</v>
      </c>
      <c r="I397" s="18">
        <v>0</v>
      </c>
      <c r="J397" s="24" t="s">
        <v>286</v>
      </c>
      <c r="K397" s="24" t="s">
        <v>286</v>
      </c>
      <c r="L397" s="56">
        <f t="shared" si="26"/>
        <v>2471.81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60000</v>
      </c>
      <c r="H400" s="18">
        <v>30434.28</v>
      </c>
      <c r="I400" s="18">
        <v>11195.37</v>
      </c>
      <c r="J400" s="24" t="s">
        <v>286</v>
      </c>
      <c r="K400" s="24" t="s">
        <v>286</v>
      </c>
      <c r="L400" s="56">
        <f t="shared" si="26"/>
        <v>101629.65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35234.089999999997</v>
      </c>
      <c r="I401" s="47">
        <f>SUM(I395:I400)</f>
        <v>11195.37</v>
      </c>
      <c r="J401" s="45" t="s">
        <v>286</v>
      </c>
      <c r="K401" s="45" t="s">
        <v>286</v>
      </c>
      <c r="L401" s="47">
        <f>SUM(L395:L400)</f>
        <v>106429.45999999999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35234.089999999997</v>
      </c>
      <c r="I408" s="47">
        <f>I393+I401+I407</f>
        <v>11195.37</v>
      </c>
      <c r="J408" s="24" t="s">
        <v>286</v>
      </c>
      <c r="K408" s="24" t="s">
        <v>286</v>
      </c>
      <c r="L408" s="47">
        <f>L393+L401+L407</f>
        <v>106429.45999999999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19077.099999999999</v>
      </c>
      <c r="L426" s="56">
        <f t="shared" si="29"/>
        <v>19077.099999999999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19077.099999999999</v>
      </c>
      <c r="L427" s="47">
        <f t="shared" si="30"/>
        <v>19077.099999999999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19077.099999999999</v>
      </c>
      <c r="L434" s="47">
        <f t="shared" si="32"/>
        <v>19077.099999999999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44108.76</v>
      </c>
      <c r="H441" s="18">
        <v>0</v>
      </c>
      <c r="I441" s="56">
        <f t="shared" si="33"/>
        <v>44108.76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0</v>
      </c>
      <c r="G442" s="18">
        <v>1546395.37</v>
      </c>
      <c r="H442" s="18">
        <v>0</v>
      </c>
      <c r="I442" s="56">
        <f t="shared" si="33"/>
        <v>1546395.37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1590504.1300000001</v>
      </c>
      <c r="H446" s="13">
        <f>SUM(H439:H445)</f>
        <v>0</v>
      </c>
      <c r="I446" s="13">
        <f>SUM(I439:I445)</f>
        <v>1590504.1300000001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0</v>
      </c>
      <c r="G459" s="18">
        <v>1590504.13</v>
      </c>
      <c r="H459" s="18">
        <v>0</v>
      </c>
      <c r="I459" s="56">
        <f t="shared" si="34"/>
        <v>1590504.13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1590504.13</v>
      </c>
      <c r="H460" s="83">
        <f>SUM(H454:H459)</f>
        <v>0</v>
      </c>
      <c r="I460" s="83">
        <f>SUM(I454:I459)</f>
        <v>1590504.13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1590504.13</v>
      </c>
      <c r="H461" s="42">
        <f>H452+H460</f>
        <v>0</v>
      </c>
      <c r="I461" s="42">
        <f>I452+I460</f>
        <v>1590504.13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1242199.51</v>
      </c>
      <c r="G465" s="18">
        <v>66062.81</v>
      </c>
      <c r="H465" s="18">
        <v>0</v>
      </c>
      <c r="I465" s="18">
        <v>0</v>
      </c>
      <c r="J465" s="18">
        <v>1503151.77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47648571.609999999</v>
      </c>
      <c r="G468" s="18">
        <v>929651.79</v>
      </c>
      <c r="H468" s="18">
        <v>1651207.15</v>
      </c>
      <c r="I468" s="18">
        <v>0</v>
      </c>
      <c r="J468" s="18">
        <v>106429.46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>
        <v>0</v>
      </c>
      <c r="J469" s="18">
        <v>0</v>
      </c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47648571.609999999</v>
      </c>
      <c r="G470" s="53">
        <f>SUM(G468:G469)</f>
        <v>929651.79</v>
      </c>
      <c r="H470" s="53">
        <f>SUM(H468:H469)</f>
        <v>1651207.15</v>
      </c>
      <c r="I470" s="53">
        <f>SUM(I468:I469)</f>
        <v>0</v>
      </c>
      <c r="J470" s="53">
        <f>SUM(J468:J469)</f>
        <v>106429.46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48030023.810000002</v>
      </c>
      <c r="G472" s="18">
        <v>892840.82</v>
      </c>
      <c r="H472" s="18">
        <v>1651207.15</v>
      </c>
      <c r="I472" s="18">
        <v>0</v>
      </c>
      <c r="J472" s="18">
        <v>19077.099999999999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>
        <v>0</v>
      </c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48030023.810000002</v>
      </c>
      <c r="G474" s="53">
        <f>SUM(G472:G473)</f>
        <v>892840.82</v>
      </c>
      <c r="H474" s="53">
        <f>SUM(H472:H473)</f>
        <v>1651207.15</v>
      </c>
      <c r="I474" s="53">
        <f>SUM(I472:I473)</f>
        <v>0</v>
      </c>
      <c r="J474" s="53">
        <f>SUM(J472:J473)</f>
        <v>19077.099999999999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860747.30999999493</v>
      </c>
      <c r="G476" s="53">
        <f>(G465+G470)- G474</f>
        <v>102873.78000000014</v>
      </c>
      <c r="H476" s="53">
        <f>(H465+H470)- H474</f>
        <v>0</v>
      </c>
      <c r="I476" s="53">
        <f>(I465+I470)- I474</f>
        <v>0</v>
      </c>
      <c r="J476" s="53">
        <f>(J465+J470)- J474</f>
        <v>1590504.13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30</v>
      </c>
      <c r="G490" s="154">
        <v>30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915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 t="s">
        <v>916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25000000</v>
      </c>
      <c r="G493" s="18">
        <v>325508500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4.3</v>
      </c>
      <c r="G494" s="18">
        <v>4.46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15846330.949999999</v>
      </c>
      <c r="G495" s="18">
        <v>21232855.199999999</v>
      </c>
      <c r="H495" s="18"/>
      <c r="I495" s="18"/>
      <c r="J495" s="18"/>
      <c r="K495" s="53">
        <f>SUM(F495:J495)</f>
        <v>37079186.149999999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0</v>
      </c>
      <c r="G497" s="18">
        <v>0</v>
      </c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14777311.17</v>
      </c>
      <c r="G498" s="204">
        <v>19600917.140000001</v>
      </c>
      <c r="H498" s="204"/>
      <c r="I498" s="204"/>
      <c r="J498" s="204"/>
      <c r="K498" s="205">
        <f t="shared" si="35"/>
        <v>34378228.310000002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18156068.120000001</v>
      </c>
      <c r="G499" s="18">
        <v>26694776.609999999</v>
      </c>
      <c r="H499" s="18"/>
      <c r="I499" s="18"/>
      <c r="J499" s="18"/>
      <c r="K499" s="53">
        <f t="shared" si="35"/>
        <v>44850844.730000004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32933379.289999999</v>
      </c>
      <c r="G500" s="42">
        <f>SUM(G498:G499)</f>
        <v>46295693.75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79229073.039999992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1022161.25</v>
      </c>
      <c r="G501" s="204">
        <v>1412855.44</v>
      </c>
      <c r="H501" s="204"/>
      <c r="I501" s="204"/>
      <c r="J501" s="204"/>
      <c r="K501" s="205">
        <f t="shared" si="35"/>
        <v>2435016.69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436137</v>
      </c>
      <c r="G502" s="18">
        <v>691007.06</v>
      </c>
      <c r="H502" s="18"/>
      <c r="I502" s="18"/>
      <c r="J502" s="18"/>
      <c r="K502" s="53">
        <f t="shared" si="35"/>
        <v>1127144.06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1458298.25</v>
      </c>
      <c r="G503" s="42">
        <f>SUM(G501:G502)</f>
        <v>2103862.5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3562160.75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972880.3</v>
      </c>
      <c r="G507" s="144">
        <v>105769.83</v>
      </c>
      <c r="H507" s="144">
        <v>-99585.46</v>
      </c>
      <c r="I507" s="144">
        <v>980784.04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1465929.27</v>
      </c>
      <c r="G521" s="18">
        <v>900008.57</v>
      </c>
      <c r="H521" s="18">
        <v>330686.95</v>
      </c>
      <c r="I521" s="18">
        <v>12290.4</v>
      </c>
      <c r="J521" s="18">
        <v>11072.62</v>
      </c>
      <c r="K521" s="18">
        <v>452.64</v>
      </c>
      <c r="L521" s="88">
        <f>SUM(F521:K521)</f>
        <v>2720440.45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498415.95</v>
      </c>
      <c r="G522" s="18">
        <v>306002.90999999997</v>
      </c>
      <c r="H522" s="18">
        <v>112433.56</v>
      </c>
      <c r="I522" s="18">
        <v>4178.75</v>
      </c>
      <c r="J522" s="18">
        <v>3764.69</v>
      </c>
      <c r="K522" s="18">
        <v>153.9</v>
      </c>
      <c r="L522" s="88">
        <f>SUM(F522:K522)</f>
        <v>924949.75999999989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967513.32</v>
      </c>
      <c r="G523" s="18">
        <v>594005.66</v>
      </c>
      <c r="H523" s="18">
        <v>218253.39</v>
      </c>
      <c r="I523" s="18">
        <v>8111.71</v>
      </c>
      <c r="J523" s="18">
        <v>7307.73</v>
      </c>
      <c r="K523" s="18">
        <v>298.74</v>
      </c>
      <c r="L523" s="88">
        <f>SUM(F523:K523)</f>
        <v>1795490.55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2931858.54</v>
      </c>
      <c r="G524" s="108">
        <f t="shared" ref="G524:L524" si="36">SUM(G521:G523)</f>
        <v>1800017.1400000001</v>
      </c>
      <c r="H524" s="108">
        <f t="shared" si="36"/>
        <v>661373.9</v>
      </c>
      <c r="I524" s="108">
        <f t="shared" si="36"/>
        <v>24580.86</v>
      </c>
      <c r="J524" s="108">
        <f t="shared" si="36"/>
        <v>22145.040000000001</v>
      </c>
      <c r="K524" s="108">
        <f t="shared" si="36"/>
        <v>905.28</v>
      </c>
      <c r="L524" s="89">
        <f t="shared" si="36"/>
        <v>5440880.7599999998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687154.35</v>
      </c>
      <c r="G526" s="18">
        <v>421879.02</v>
      </c>
      <c r="H526" s="18">
        <v>155009.51</v>
      </c>
      <c r="I526" s="18">
        <v>5761.1</v>
      </c>
      <c r="J526" s="18">
        <v>5190.29</v>
      </c>
      <c r="K526" s="18">
        <v>212.18</v>
      </c>
      <c r="L526" s="88">
        <f>SUM(F526:K526)</f>
        <v>1275206.4500000002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233632.48</v>
      </c>
      <c r="G527" s="18">
        <v>143438.87</v>
      </c>
      <c r="H527" s="18">
        <v>52703.23</v>
      </c>
      <c r="I527" s="18">
        <v>1958.77</v>
      </c>
      <c r="J527" s="18">
        <v>1764.7</v>
      </c>
      <c r="K527" s="18">
        <v>72.14</v>
      </c>
      <c r="L527" s="88">
        <f>SUM(F527:K527)</f>
        <v>433570.19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453521.87</v>
      </c>
      <c r="G528" s="18">
        <v>278440.15000000002</v>
      </c>
      <c r="H528" s="18">
        <v>102306.28</v>
      </c>
      <c r="I528" s="18">
        <v>3802.32</v>
      </c>
      <c r="J528" s="18">
        <v>3425.59</v>
      </c>
      <c r="K528" s="18">
        <v>140.04</v>
      </c>
      <c r="L528" s="88">
        <f>SUM(F528:K528)</f>
        <v>841636.25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1374308.7</v>
      </c>
      <c r="G529" s="89">
        <f t="shared" ref="G529:L529" si="37">SUM(G526:G528)</f>
        <v>843758.04</v>
      </c>
      <c r="H529" s="89">
        <f t="shared" si="37"/>
        <v>310019.02</v>
      </c>
      <c r="I529" s="89">
        <f t="shared" si="37"/>
        <v>11522.19</v>
      </c>
      <c r="J529" s="89">
        <f t="shared" si="37"/>
        <v>10380.58</v>
      </c>
      <c r="K529" s="89">
        <f t="shared" si="37"/>
        <v>424.36</v>
      </c>
      <c r="L529" s="89">
        <f t="shared" si="37"/>
        <v>2550412.89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137430.87</v>
      </c>
      <c r="G531" s="18">
        <v>84375.8</v>
      </c>
      <c r="H531" s="18">
        <v>31001.9</v>
      </c>
      <c r="I531" s="18">
        <v>1152.22</v>
      </c>
      <c r="J531" s="18">
        <v>1038.06</v>
      </c>
      <c r="K531" s="18">
        <v>42.44</v>
      </c>
      <c r="L531" s="88">
        <f>SUM(F531:K531)</f>
        <v>255041.28999999998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46726.5</v>
      </c>
      <c r="G532" s="18">
        <v>28687.77</v>
      </c>
      <c r="H532" s="18">
        <v>10540.65</v>
      </c>
      <c r="I532" s="18">
        <v>391.75</v>
      </c>
      <c r="J532" s="18">
        <v>352.94</v>
      </c>
      <c r="K532" s="18">
        <v>14.43</v>
      </c>
      <c r="L532" s="88">
        <f>SUM(F532:K532)</f>
        <v>86714.04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90704.37</v>
      </c>
      <c r="G533" s="18">
        <v>55688.03</v>
      </c>
      <c r="H533" s="18">
        <v>20461.259999999998</v>
      </c>
      <c r="I533" s="18">
        <v>760.46</v>
      </c>
      <c r="J533" s="18">
        <v>685.12</v>
      </c>
      <c r="K533" s="18">
        <v>28.01</v>
      </c>
      <c r="L533" s="88">
        <f>SUM(F533:K533)</f>
        <v>168327.25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274861.74</v>
      </c>
      <c r="G534" s="89">
        <f t="shared" ref="G534:L534" si="38">SUM(G531:G533)</f>
        <v>168751.6</v>
      </c>
      <c r="H534" s="89">
        <f t="shared" si="38"/>
        <v>62003.81</v>
      </c>
      <c r="I534" s="89">
        <f t="shared" si="38"/>
        <v>2304.4300000000003</v>
      </c>
      <c r="J534" s="89">
        <f t="shared" si="38"/>
        <v>2076.12</v>
      </c>
      <c r="K534" s="89">
        <f t="shared" si="38"/>
        <v>84.88</v>
      </c>
      <c r="L534" s="89">
        <f t="shared" si="38"/>
        <v>510082.57999999996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>
        <v>0</v>
      </c>
      <c r="G536" s="18">
        <v>0</v>
      </c>
      <c r="H536" s="18">
        <v>1228.97</v>
      </c>
      <c r="I536" s="18">
        <v>0</v>
      </c>
      <c r="J536" s="18">
        <v>0</v>
      </c>
      <c r="K536" s="18">
        <v>0</v>
      </c>
      <c r="L536" s="88">
        <f>SUM(F536:K536)</f>
        <v>1228.97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>
        <v>0</v>
      </c>
      <c r="G537" s="18">
        <v>0</v>
      </c>
      <c r="H537" s="18">
        <v>417.85</v>
      </c>
      <c r="I537" s="18">
        <v>0</v>
      </c>
      <c r="J537" s="18">
        <v>0</v>
      </c>
      <c r="K537" s="18">
        <v>0</v>
      </c>
      <c r="L537" s="88">
        <f>SUM(F537:K537)</f>
        <v>417.85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>
        <v>0</v>
      </c>
      <c r="G538" s="18">
        <v>0</v>
      </c>
      <c r="H538" s="18">
        <v>811.12</v>
      </c>
      <c r="I538" s="18">
        <v>0</v>
      </c>
      <c r="J538" s="18">
        <v>0</v>
      </c>
      <c r="K538" s="18">
        <v>0</v>
      </c>
      <c r="L538" s="88">
        <f>SUM(F538:K538)</f>
        <v>811.12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2457.94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2457.94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125063.48</v>
      </c>
      <c r="G541" s="18">
        <v>22297.1</v>
      </c>
      <c r="H541" s="18">
        <v>3183.95</v>
      </c>
      <c r="I541" s="18">
        <v>81.2</v>
      </c>
      <c r="J541" s="18">
        <v>0</v>
      </c>
      <c r="K541" s="18">
        <v>0</v>
      </c>
      <c r="L541" s="88">
        <f>SUM(F541:K541)</f>
        <v>150625.73000000001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42521.58</v>
      </c>
      <c r="G542" s="18">
        <v>7581.01</v>
      </c>
      <c r="H542" s="18">
        <v>1082.54</v>
      </c>
      <c r="I542" s="18">
        <v>27.61</v>
      </c>
      <c r="J542" s="18">
        <v>0</v>
      </c>
      <c r="K542" s="18">
        <v>0</v>
      </c>
      <c r="L542" s="88">
        <f>SUM(F542:K542)</f>
        <v>51212.740000000005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82541.899999999994</v>
      </c>
      <c r="G543" s="18">
        <v>14716.09</v>
      </c>
      <c r="H543" s="18">
        <v>2101.41</v>
      </c>
      <c r="I543" s="18">
        <v>53.59</v>
      </c>
      <c r="J543" s="18">
        <v>0</v>
      </c>
      <c r="K543" s="18">
        <v>0</v>
      </c>
      <c r="L543" s="88">
        <f>SUM(F543:K543)</f>
        <v>99412.989999999991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250126.96</v>
      </c>
      <c r="G544" s="193">
        <f t="shared" ref="G544:L544" si="40">SUM(G541:G543)</f>
        <v>44594.2</v>
      </c>
      <c r="H544" s="193">
        <f t="shared" si="40"/>
        <v>6367.9</v>
      </c>
      <c r="I544" s="193">
        <f t="shared" si="40"/>
        <v>162.4</v>
      </c>
      <c r="J544" s="193">
        <f t="shared" si="40"/>
        <v>0</v>
      </c>
      <c r="K544" s="193">
        <f t="shared" si="40"/>
        <v>0</v>
      </c>
      <c r="L544" s="193">
        <f t="shared" si="40"/>
        <v>301251.46000000002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4831155.9400000004</v>
      </c>
      <c r="G545" s="89">
        <f t="shared" ref="G545:L545" si="41">G524+G529+G534+G539+G544</f>
        <v>2857120.9800000004</v>
      </c>
      <c r="H545" s="89">
        <f t="shared" si="41"/>
        <v>1042222.57</v>
      </c>
      <c r="I545" s="89">
        <f t="shared" si="41"/>
        <v>38569.880000000005</v>
      </c>
      <c r="J545" s="89">
        <f t="shared" si="41"/>
        <v>34601.740000000005</v>
      </c>
      <c r="K545" s="89">
        <f t="shared" si="41"/>
        <v>1414.52</v>
      </c>
      <c r="L545" s="89">
        <f t="shared" si="41"/>
        <v>8805085.6300000008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2720440.45</v>
      </c>
      <c r="G549" s="87">
        <f>L526</f>
        <v>1275206.4500000002</v>
      </c>
      <c r="H549" s="87">
        <f>L531</f>
        <v>255041.28999999998</v>
      </c>
      <c r="I549" s="87">
        <f>L536</f>
        <v>1228.97</v>
      </c>
      <c r="J549" s="87">
        <f>L541</f>
        <v>150625.73000000001</v>
      </c>
      <c r="K549" s="87">
        <f>SUM(F549:J549)</f>
        <v>4402542.8900000006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924949.75999999989</v>
      </c>
      <c r="G550" s="87">
        <f>L527</f>
        <v>433570.19</v>
      </c>
      <c r="H550" s="87">
        <f>L532</f>
        <v>86714.04</v>
      </c>
      <c r="I550" s="87">
        <f>L537</f>
        <v>417.85</v>
      </c>
      <c r="J550" s="87">
        <f>L542</f>
        <v>51212.740000000005</v>
      </c>
      <c r="K550" s="87">
        <f>SUM(F550:J550)</f>
        <v>1496864.58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1795490.55</v>
      </c>
      <c r="G551" s="87">
        <f>L528</f>
        <v>841636.25</v>
      </c>
      <c r="H551" s="87">
        <f>L533</f>
        <v>168327.25</v>
      </c>
      <c r="I551" s="87">
        <f>L538</f>
        <v>811.12</v>
      </c>
      <c r="J551" s="87">
        <f>L543</f>
        <v>99412.989999999991</v>
      </c>
      <c r="K551" s="87">
        <f>SUM(F551:J551)</f>
        <v>2905678.16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5440880.7599999998</v>
      </c>
      <c r="G552" s="89">
        <f t="shared" si="42"/>
        <v>2550412.89</v>
      </c>
      <c r="H552" s="89">
        <f t="shared" si="42"/>
        <v>510082.57999999996</v>
      </c>
      <c r="I552" s="89">
        <f t="shared" si="42"/>
        <v>2457.94</v>
      </c>
      <c r="J552" s="89">
        <f t="shared" si="42"/>
        <v>301251.46000000002</v>
      </c>
      <c r="K552" s="89">
        <f t="shared" si="42"/>
        <v>8805085.6300000008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35711.78</v>
      </c>
      <c r="G562" s="18">
        <v>1784.72</v>
      </c>
      <c r="H562" s="18">
        <v>1484.17</v>
      </c>
      <c r="I562" s="18">
        <v>398.95</v>
      </c>
      <c r="J562" s="18">
        <v>0</v>
      </c>
      <c r="K562" s="18">
        <v>100</v>
      </c>
      <c r="L562" s="88">
        <f>SUM(F562:K562)</f>
        <v>39479.619999999995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35711.78</v>
      </c>
      <c r="G565" s="89">
        <f t="shared" si="44"/>
        <v>1784.72</v>
      </c>
      <c r="H565" s="89">
        <f t="shared" si="44"/>
        <v>1484.17</v>
      </c>
      <c r="I565" s="89">
        <f t="shared" si="44"/>
        <v>398.95</v>
      </c>
      <c r="J565" s="89">
        <f t="shared" si="44"/>
        <v>0</v>
      </c>
      <c r="K565" s="89">
        <f t="shared" si="44"/>
        <v>100</v>
      </c>
      <c r="L565" s="89">
        <f t="shared" si="44"/>
        <v>39479.619999999995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35711.78</v>
      </c>
      <c r="G571" s="89">
        <f t="shared" ref="G571:L571" si="46">G560+G565+G570</f>
        <v>1784.72</v>
      </c>
      <c r="H571" s="89">
        <f t="shared" si="46"/>
        <v>1484.17</v>
      </c>
      <c r="I571" s="89">
        <f t="shared" si="46"/>
        <v>398.95</v>
      </c>
      <c r="J571" s="89">
        <f t="shared" si="46"/>
        <v>0</v>
      </c>
      <c r="K571" s="89">
        <f t="shared" si="46"/>
        <v>100</v>
      </c>
      <c r="L571" s="89">
        <f t="shared" si="46"/>
        <v>39479.619999999995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0</v>
      </c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23913.4</v>
      </c>
      <c r="G579" s="18">
        <v>0</v>
      </c>
      <c r="H579" s="18">
        <v>9875</v>
      </c>
      <c r="I579" s="87">
        <f t="shared" si="47"/>
        <v>33788.400000000001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0</v>
      </c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420567.45</v>
      </c>
      <c r="G582" s="18">
        <v>135773.92000000001</v>
      </c>
      <c r="H582" s="18">
        <v>151178.84</v>
      </c>
      <c r="I582" s="87">
        <f t="shared" si="47"/>
        <v>707520.21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>
        <v>145400.03</v>
      </c>
      <c r="I583" s="87">
        <f t="shared" si="47"/>
        <v>145400.03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>
        <v>0</v>
      </c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1174081.3</v>
      </c>
      <c r="I591" s="18">
        <v>299098.84999999998</v>
      </c>
      <c r="J591" s="18">
        <v>349625.8</v>
      </c>
      <c r="K591" s="104">
        <f t="shared" ref="K591:K597" si="48">SUM(H591:J591)</f>
        <v>1822805.95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294721.15999999997</v>
      </c>
      <c r="I592" s="18">
        <v>0</v>
      </c>
      <c r="J592" s="18">
        <v>6530.3</v>
      </c>
      <c r="K592" s="104">
        <f t="shared" si="48"/>
        <v>301251.45999999996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2977.6</v>
      </c>
      <c r="K593" s="104">
        <f t="shared" si="48"/>
        <v>2977.6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16787.95</v>
      </c>
      <c r="J594" s="18">
        <v>63786.78</v>
      </c>
      <c r="K594" s="104">
        <f t="shared" si="48"/>
        <v>80574.73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20832.68</v>
      </c>
      <c r="I595" s="18">
        <v>10144.41</v>
      </c>
      <c r="J595" s="18">
        <v>13680.76</v>
      </c>
      <c r="K595" s="104">
        <f t="shared" si="48"/>
        <v>44657.85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1489635.14</v>
      </c>
      <c r="I598" s="108">
        <f>SUM(I591:I597)</f>
        <v>326031.20999999996</v>
      </c>
      <c r="J598" s="108">
        <f>SUM(J591:J597)</f>
        <v>436601.24</v>
      </c>
      <c r="K598" s="108">
        <f>SUM(K591:K597)</f>
        <v>2252267.5900000003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878.98</v>
      </c>
      <c r="I603" s="18">
        <v>0</v>
      </c>
      <c r="J603" s="18">
        <v>0</v>
      </c>
      <c r="K603" s="104">
        <f>SUM(H603:J603)</f>
        <v>878.98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330436.49</v>
      </c>
      <c r="I604" s="18">
        <v>214314.67</v>
      </c>
      <c r="J604" s="18">
        <v>346314.62</v>
      </c>
      <c r="K604" s="104">
        <f>SUM(H604:J604)</f>
        <v>891065.78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331315.46999999997</v>
      </c>
      <c r="I605" s="108">
        <f>SUM(I602:I604)</f>
        <v>214314.67</v>
      </c>
      <c r="J605" s="108">
        <f>SUM(J602:J604)</f>
        <v>346314.62</v>
      </c>
      <c r="K605" s="108">
        <f>SUM(K602:K604)</f>
        <v>891944.76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26751.94</v>
      </c>
      <c r="G611" s="18">
        <v>4985.18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31737.119999999999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0</v>
      </c>
      <c r="G612" s="18">
        <v>0</v>
      </c>
      <c r="H612" s="18">
        <v>569.52</v>
      </c>
      <c r="I612" s="18">
        <v>0</v>
      </c>
      <c r="J612" s="18">
        <v>0</v>
      </c>
      <c r="K612" s="18">
        <v>0</v>
      </c>
      <c r="L612" s="88">
        <f>SUM(F612:K612)</f>
        <v>569.52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35999.96</v>
      </c>
      <c r="G613" s="18">
        <v>8928.3799999999992</v>
      </c>
      <c r="H613" s="18">
        <v>0</v>
      </c>
      <c r="I613" s="18">
        <v>692.65</v>
      </c>
      <c r="J613" s="18">
        <v>0</v>
      </c>
      <c r="K613" s="18">
        <v>0</v>
      </c>
      <c r="L613" s="88">
        <f>SUM(F613:K613)</f>
        <v>45620.99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62751.899999999994</v>
      </c>
      <c r="G614" s="108">
        <f t="shared" si="49"/>
        <v>13913.56</v>
      </c>
      <c r="H614" s="108">
        <f t="shared" si="49"/>
        <v>569.52</v>
      </c>
      <c r="I614" s="108">
        <f t="shared" si="49"/>
        <v>692.65</v>
      </c>
      <c r="J614" s="108">
        <f t="shared" si="49"/>
        <v>0</v>
      </c>
      <c r="K614" s="108">
        <f t="shared" si="49"/>
        <v>0</v>
      </c>
      <c r="L614" s="89">
        <f t="shared" si="49"/>
        <v>77927.63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1198011.4500000002</v>
      </c>
      <c r="H617" s="109">
        <f>SUM(F52)</f>
        <v>1198011.45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137982.09</v>
      </c>
      <c r="H618" s="109">
        <f>SUM(G52)</f>
        <v>137982.09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265323.12</v>
      </c>
      <c r="H619" s="109">
        <f>SUM(H52)</f>
        <v>265323.12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1590504.1300000001</v>
      </c>
      <c r="H621" s="109">
        <f>SUM(J52)</f>
        <v>1590504.13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860747.31</v>
      </c>
      <c r="H622" s="109">
        <f>F476</f>
        <v>860747.30999999493</v>
      </c>
      <c r="I622" s="121" t="s">
        <v>101</v>
      </c>
      <c r="J622" s="109">
        <f t="shared" ref="J622:J655" si="50">G622-H622</f>
        <v>5.1222741603851318E-9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102873.78</v>
      </c>
      <c r="H623" s="109">
        <f>G476</f>
        <v>102873.78000000014</v>
      </c>
      <c r="I623" s="121" t="s">
        <v>102</v>
      </c>
      <c r="J623" s="109">
        <f t="shared" si="50"/>
        <v>-1.4551915228366852E-10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1590504.13</v>
      </c>
      <c r="H626" s="109">
        <f>J476</f>
        <v>1590504.13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47648571.609999999</v>
      </c>
      <c r="H627" s="104">
        <f>SUM(F468)</f>
        <v>47648571.609999999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929651.79</v>
      </c>
      <c r="H628" s="104">
        <f>SUM(G468)</f>
        <v>929651.79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1651207.15</v>
      </c>
      <c r="H629" s="104">
        <f>SUM(H468)</f>
        <v>1651207.15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106429.45999999999</v>
      </c>
      <c r="H631" s="104">
        <f>SUM(J468)</f>
        <v>106429.46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48030023.805000007</v>
      </c>
      <c r="H632" s="104">
        <f>SUM(F472)</f>
        <v>48030023.810000002</v>
      </c>
      <c r="I632" s="140" t="s">
        <v>111</v>
      </c>
      <c r="J632" s="109">
        <f t="shared" si="50"/>
        <v>-4.999995231628418E-3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1651207.1499999997</v>
      </c>
      <c r="H633" s="104">
        <f>SUM(H472)</f>
        <v>1651207.15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362630.32</v>
      </c>
      <c r="H634" s="104">
        <f>I369</f>
        <v>362630.32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892840.82</v>
      </c>
      <c r="H635" s="104">
        <f>SUM(G472)</f>
        <v>892840.82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106429.45999999999</v>
      </c>
      <c r="H637" s="164">
        <f>SUM(J468)</f>
        <v>106429.46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19077.099999999999</v>
      </c>
      <c r="H638" s="164">
        <f>SUM(J472)</f>
        <v>19077.099999999999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1590504.1300000001</v>
      </c>
      <c r="H640" s="104">
        <f>SUM(G461)</f>
        <v>1590504.13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1590504.1300000001</v>
      </c>
      <c r="H642" s="104">
        <f>SUM(I461)</f>
        <v>1590504.13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35234.089999999997</v>
      </c>
      <c r="H644" s="104">
        <f>H408</f>
        <v>35234.089999999997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60000</v>
      </c>
      <c r="H645" s="104">
        <f>G408</f>
        <v>60000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106429.45999999999</v>
      </c>
      <c r="H646" s="104">
        <f>L408</f>
        <v>106429.45999999999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2252267.5900000003</v>
      </c>
      <c r="H647" s="104">
        <f>L208+L226+L244</f>
        <v>2252267.585</v>
      </c>
      <c r="I647" s="140" t="s">
        <v>394</v>
      </c>
      <c r="J647" s="109">
        <f t="shared" si="50"/>
        <v>5.0000003539025784E-3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891944.76</v>
      </c>
      <c r="H648" s="104">
        <f>(J257+J338)-(J255+J336)</f>
        <v>891944.76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1489635.1350000002</v>
      </c>
      <c r="H649" s="104">
        <f>H598</f>
        <v>1489635.14</v>
      </c>
      <c r="I649" s="140" t="s">
        <v>386</v>
      </c>
      <c r="J649" s="109">
        <f t="shared" si="50"/>
        <v>-4.9999996554106474E-3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326031.21000000002</v>
      </c>
      <c r="H650" s="104">
        <f>I598</f>
        <v>326031.20999999996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436601.24</v>
      </c>
      <c r="H651" s="104">
        <f>J598</f>
        <v>436601.24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60000</v>
      </c>
      <c r="H655" s="104">
        <f>K266+K347</f>
        <v>60000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-4.9999803304672241E-3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23144886.705000002</v>
      </c>
      <c r="G660" s="19">
        <f>(L229+L309+L359)</f>
        <v>8111204.6400000006</v>
      </c>
      <c r="H660" s="19">
        <f>(L247+L328+L360)</f>
        <v>15255088.270000001</v>
      </c>
      <c r="I660" s="19">
        <f>SUM(F660:H660)</f>
        <v>46511179.615000002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145278.60829321356</v>
      </c>
      <c r="G661" s="19">
        <f>(L359/IF(SUM(L358:L360)=0,1,SUM(L358:L360))*(SUM(G97:G110)))</f>
        <v>101329.42307239503</v>
      </c>
      <c r="H661" s="19">
        <f>(L360/IF(SUM(L358:L360)=0,1,SUM(L358:L360))*(SUM(G97:G110)))</f>
        <v>198898.13863439139</v>
      </c>
      <c r="I661" s="19">
        <f>SUM(F661:H661)</f>
        <v>445506.17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1382289.7750000001</v>
      </c>
      <c r="G662" s="19">
        <f>(L226+L306)-(J226+J306)</f>
        <v>278735.81</v>
      </c>
      <c r="H662" s="19">
        <f>(L244+L325)-(J244+J325)</f>
        <v>365658.14</v>
      </c>
      <c r="I662" s="19">
        <f>SUM(F662:H662)</f>
        <v>2026683.7250000001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807533.44000000006</v>
      </c>
      <c r="G663" s="199">
        <f>SUM(G575:G587)+SUM(I602:I604)+L612</f>
        <v>350658.11000000004</v>
      </c>
      <c r="H663" s="199">
        <f>SUM(H575:H587)+SUM(J602:J604)+L613</f>
        <v>698389.48</v>
      </c>
      <c r="I663" s="19">
        <f>SUM(F663:H663)</f>
        <v>1856581.03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20809784.881706789</v>
      </c>
      <c r="G664" s="19">
        <f>G660-SUM(G661:G663)</f>
        <v>7380481.2969276058</v>
      </c>
      <c r="H664" s="19">
        <f>H660-SUM(H661:H663)</f>
        <v>13992142.511365611</v>
      </c>
      <c r="I664" s="19">
        <f>I660-SUM(I661:I663)</f>
        <v>42182408.690000005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1128</v>
      </c>
      <c r="G665" s="248">
        <v>397.92</v>
      </c>
      <c r="H665" s="248">
        <v>765.57</v>
      </c>
      <c r="I665" s="19">
        <f>SUM(F665:H665)</f>
        <v>2291.4900000000002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18448.39</v>
      </c>
      <c r="G667" s="19">
        <f>ROUND(G664/G665,2)</f>
        <v>18547.650000000001</v>
      </c>
      <c r="H667" s="19">
        <f>ROUND(H664/H665,2)</f>
        <v>18276.759999999998</v>
      </c>
      <c r="I667" s="19">
        <f>ROUND(I664/I665,2)</f>
        <v>18408.29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19.61</v>
      </c>
      <c r="I670" s="19">
        <f>SUM(F670:H670)</f>
        <v>19.61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18448.39</v>
      </c>
      <c r="G672" s="19">
        <f>ROUND((G664+G669)/(G665+G670),2)</f>
        <v>18547.650000000001</v>
      </c>
      <c r="H672" s="19">
        <f>ROUND((H664+H669)/(H665+H670),2)</f>
        <v>17820.3</v>
      </c>
      <c r="I672" s="19">
        <f>ROUND((I664+I669)/(I665+I670),2)</f>
        <v>18252.09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zoomScale="130" zoomScaleNormal="13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Governor Wentworth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11727111.999999998</v>
      </c>
      <c r="C9" s="229">
        <f>'DOE25'!G197+'DOE25'!G215+'DOE25'!G233+'DOE25'!G276+'DOE25'!G295+'DOE25'!G314</f>
        <v>7533612.1500000004</v>
      </c>
    </row>
    <row r="10" spans="1:3" x14ac:dyDescent="0.2">
      <c r="A10" t="s">
        <v>773</v>
      </c>
      <c r="B10" s="240">
        <v>10548537.24</v>
      </c>
      <c r="C10" s="240">
        <v>6776484.1299999999</v>
      </c>
    </row>
    <row r="11" spans="1:3" x14ac:dyDescent="0.2">
      <c r="A11" t="s">
        <v>774</v>
      </c>
      <c r="B11" s="240">
        <v>630918.63</v>
      </c>
      <c r="C11" s="240">
        <v>405308.33</v>
      </c>
    </row>
    <row r="12" spans="1:3" x14ac:dyDescent="0.2">
      <c r="A12" t="s">
        <v>775</v>
      </c>
      <c r="B12" s="240">
        <v>547656.13</v>
      </c>
      <c r="C12" s="240">
        <v>351819.69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11727112.000000002</v>
      </c>
      <c r="C13" s="231">
        <f>SUM(C10:C12)</f>
        <v>7533612.1500000004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4581028.9799999995</v>
      </c>
      <c r="C18" s="229">
        <f>'DOE25'!G198+'DOE25'!G216+'DOE25'!G234+'DOE25'!G277+'DOE25'!G296+'DOE25'!G315</f>
        <v>2812526.7800000003</v>
      </c>
    </row>
    <row r="19" spans="1:3" x14ac:dyDescent="0.2">
      <c r="A19" t="s">
        <v>773</v>
      </c>
      <c r="B19" s="240">
        <v>2963925.75</v>
      </c>
      <c r="C19" s="240">
        <v>1819704.83</v>
      </c>
    </row>
    <row r="20" spans="1:3" x14ac:dyDescent="0.2">
      <c r="A20" t="s">
        <v>774</v>
      </c>
      <c r="B20" s="240">
        <v>1388967.99</v>
      </c>
      <c r="C20" s="240">
        <v>852758.12</v>
      </c>
    </row>
    <row r="21" spans="1:3" x14ac:dyDescent="0.2">
      <c r="A21" t="s">
        <v>775</v>
      </c>
      <c r="B21" s="240">
        <v>228135.24</v>
      </c>
      <c r="C21" s="240">
        <v>140063.82999999999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4581028.9800000004</v>
      </c>
      <c r="C22" s="231">
        <f>SUM(C19:C21)</f>
        <v>2812526.7800000003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834629.60000000009</v>
      </c>
      <c r="C27" s="234">
        <f>'DOE25'!G199+'DOE25'!G217+'DOE25'!G235+'DOE25'!G278+'DOE25'!G297+'DOE25'!G316</f>
        <v>466354.19</v>
      </c>
    </row>
    <row r="28" spans="1:3" x14ac:dyDescent="0.2">
      <c r="A28" t="s">
        <v>773</v>
      </c>
      <c r="B28" s="240">
        <v>551189.39</v>
      </c>
      <c r="C28" s="240">
        <v>307980.31</v>
      </c>
    </row>
    <row r="29" spans="1:3" x14ac:dyDescent="0.2">
      <c r="A29" t="s">
        <v>774</v>
      </c>
      <c r="B29" s="240">
        <v>128449.5</v>
      </c>
      <c r="C29" s="240">
        <v>71771.91</v>
      </c>
    </row>
    <row r="30" spans="1:3" x14ac:dyDescent="0.2">
      <c r="A30" t="s">
        <v>775</v>
      </c>
      <c r="B30" s="240">
        <v>154990.71</v>
      </c>
      <c r="C30" s="240">
        <v>86601.97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834629.6</v>
      </c>
      <c r="C31" s="231">
        <f>SUM(C28:C30)</f>
        <v>466354.18999999994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398718.3</v>
      </c>
      <c r="C36" s="235">
        <f>'DOE25'!G200+'DOE25'!G218+'DOE25'!G236+'DOE25'!G279+'DOE25'!G298+'DOE25'!G317</f>
        <v>69702.13</v>
      </c>
    </row>
    <row r="37" spans="1:3" x14ac:dyDescent="0.2">
      <c r="A37" t="s">
        <v>773</v>
      </c>
      <c r="B37" s="240">
        <v>185164.78</v>
      </c>
      <c r="C37" s="240">
        <v>32369.67</v>
      </c>
    </row>
    <row r="38" spans="1:3" x14ac:dyDescent="0.2">
      <c r="A38" t="s">
        <v>774</v>
      </c>
      <c r="B38" s="240">
        <v>74440.710000000006</v>
      </c>
      <c r="C38" s="240">
        <v>13013.39</v>
      </c>
    </row>
    <row r="39" spans="1:3" x14ac:dyDescent="0.2">
      <c r="A39" t="s">
        <v>775</v>
      </c>
      <c r="B39" s="240">
        <v>139112.81</v>
      </c>
      <c r="C39" s="240">
        <v>24319.07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398718.3</v>
      </c>
      <c r="C40" s="231">
        <f>SUM(C37:C39)</f>
        <v>69702.13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Governor Wentworth Regional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29863161.379999995</v>
      </c>
      <c r="D5" s="20">
        <f>SUM('DOE25'!L197:L200)+SUM('DOE25'!L215:L218)+SUM('DOE25'!L233:L236)-F5-G5</f>
        <v>29398125.559999995</v>
      </c>
      <c r="E5" s="243"/>
      <c r="F5" s="255">
        <f>SUM('DOE25'!J197:J200)+SUM('DOE25'!J215:J218)+SUM('DOE25'!J233:J236)</f>
        <v>451444.81999999995</v>
      </c>
      <c r="G5" s="53">
        <f>SUM('DOE25'!K197:K200)+SUM('DOE25'!K215:K218)+SUM('DOE25'!K233:K236)</f>
        <v>13591</v>
      </c>
      <c r="H5" s="259"/>
    </row>
    <row r="6" spans="1:9" x14ac:dyDescent="0.2">
      <c r="A6" s="32">
        <v>2100</v>
      </c>
      <c r="B6" t="s">
        <v>795</v>
      </c>
      <c r="C6" s="245">
        <f t="shared" si="0"/>
        <v>2202356.0699999998</v>
      </c>
      <c r="D6" s="20">
        <f>'DOE25'!L202+'DOE25'!L220+'DOE25'!L238-F6-G6</f>
        <v>2194109.56</v>
      </c>
      <c r="E6" s="243"/>
      <c r="F6" s="255">
        <f>'DOE25'!J202+'DOE25'!J220+'DOE25'!J238</f>
        <v>7890.51</v>
      </c>
      <c r="G6" s="53">
        <f>'DOE25'!K202+'DOE25'!K220+'DOE25'!K238</f>
        <v>356</v>
      </c>
      <c r="H6" s="259"/>
    </row>
    <row r="7" spans="1:9" x14ac:dyDescent="0.2">
      <c r="A7" s="32">
        <v>2200</v>
      </c>
      <c r="B7" t="s">
        <v>828</v>
      </c>
      <c r="C7" s="245">
        <f t="shared" si="0"/>
        <v>1618925.96</v>
      </c>
      <c r="D7" s="20">
        <f>'DOE25'!L203+'DOE25'!L221+'DOE25'!L239-F7-G7</f>
        <v>1541597.23</v>
      </c>
      <c r="E7" s="243"/>
      <c r="F7" s="255">
        <f>'DOE25'!J203+'DOE25'!J221+'DOE25'!J239</f>
        <v>75409.279999999999</v>
      </c>
      <c r="G7" s="53">
        <f>'DOE25'!K203+'DOE25'!K221+'DOE25'!K239</f>
        <v>1919.45</v>
      </c>
      <c r="H7" s="259"/>
    </row>
    <row r="8" spans="1:9" x14ac:dyDescent="0.2">
      <c r="A8" s="32">
        <v>2300</v>
      </c>
      <c r="B8" t="s">
        <v>796</v>
      </c>
      <c r="C8" s="245">
        <f t="shared" si="0"/>
        <v>41455.61999999985</v>
      </c>
      <c r="D8" s="243"/>
      <c r="E8" s="20">
        <f>'DOE25'!L204+'DOE25'!L222+'DOE25'!L240-F8-G8-D9-D11</f>
        <v>30357.459999999846</v>
      </c>
      <c r="F8" s="255">
        <f>'DOE25'!J204+'DOE25'!J222+'DOE25'!J240</f>
        <v>1795.72</v>
      </c>
      <c r="G8" s="53">
        <f>'DOE25'!K204+'DOE25'!K222+'DOE25'!K240</f>
        <v>9302.44</v>
      </c>
      <c r="H8" s="259"/>
    </row>
    <row r="9" spans="1:9" x14ac:dyDescent="0.2">
      <c r="A9" s="32">
        <v>2310</v>
      </c>
      <c r="B9" t="s">
        <v>812</v>
      </c>
      <c r="C9" s="245">
        <f t="shared" si="0"/>
        <v>78138.960000000006</v>
      </c>
      <c r="D9" s="244">
        <v>78138.960000000006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14150.26</v>
      </c>
      <c r="D10" s="243"/>
      <c r="E10" s="244">
        <v>14150.26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787602.68</v>
      </c>
      <c r="D11" s="244">
        <v>787602.68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2882683.4299999997</v>
      </c>
      <c r="D12" s="20">
        <f>'DOE25'!L205+'DOE25'!L223+'DOE25'!L241-F12-G12</f>
        <v>2865934.9299999997</v>
      </c>
      <c r="E12" s="243"/>
      <c r="F12" s="255">
        <f>'DOE25'!J205+'DOE25'!J223+'DOE25'!J241</f>
        <v>11991.5</v>
      </c>
      <c r="G12" s="53">
        <f>'DOE25'!K205+'DOE25'!K223+'DOE25'!K241</f>
        <v>4757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542559.01</v>
      </c>
      <c r="D13" s="243"/>
      <c r="E13" s="20">
        <f>'DOE25'!L206+'DOE25'!L224+'DOE25'!L242-F13-G13</f>
        <v>527427.4</v>
      </c>
      <c r="F13" s="255">
        <f>'DOE25'!J206+'DOE25'!J224+'DOE25'!J242</f>
        <v>791.24</v>
      </c>
      <c r="G13" s="53">
        <f>'DOE25'!K206+'DOE25'!K224+'DOE25'!K242</f>
        <v>14340.369999999999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3790622.3100000005</v>
      </c>
      <c r="D14" s="20">
        <f>'DOE25'!L207+'DOE25'!L225+'DOE25'!L243-F14-G14</f>
        <v>3750227.8800000004</v>
      </c>
      <c r="E14" s="243"/>
      <c r="F14" s="255">
        <f>'DOE25'!J207+'DOE25'!J225+'DOE25'!J243</f>
        <v>40394.430000000008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2252267.585</v>
      </c>
      <c r="D15" s="20">
        <f>'DOE25'!L208+'DOE25'!L226+'DOE25'!L244-F15-G15</f>
        <v>2015790.585</v>
      </c>
      <c r="E15" s="243"/>
      <c r="F15" s="255">
        <f>'DOE25'!J208+'DOE25'!J226+'DOE25'!J244</f>
        <v>236477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10191.779999999999</v>
      </c>
      <c r="D17" s="20">
        <f>'DOE25'!L251-F17-G17</f>
        <v>10191.779999999999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6902.45</v>
      </c>
      <c r="D19" s="20">
        <f>'DOE25'!L253-F19-G19</f>
        <v>6902.45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149999.98000000001</v>
      </c>
      <c r="D22" s="243"/>
      <c r="E22" s="243"/>
      <c r="F22" s="255">
        <f>'DOE25'!L255+'DOE25'!L336</f>
        <v>149999.98000000001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3743156.59</v>
      </c>
      <c r="D25" s="243"/>
      <c r="E25" s="243"/>
      <c r="F25" s="258"/>
      <c r="G25" s="256"/>
      <c r="H25" s="257">
        <f>'DOE25'!L260+'DOE25'!L261+'DOE25'!L341+'DOE25'!L342</f>
        <v>3743156.59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538676.68999999994</v>
      </c>
      <c r="D29" s="20">
        <f>'DOE25'!L358+'DOE25'!L359+'DOE25'!L360-'DOE25'!I367-F29-G29</f>
        <v>538501.97</v>
      </c>
      <c r="E29" s="243"/>
      <c r="F29" s="255">
        <f>'DOE25'!J358+'DOE25'!J359+'DOE25'!J360</f>
        <v>174.72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1649024.4599999997</v>
      </c>
      <c r="D31" s="20">
        <f>'DOE25'!L290+'DOE25'!L309+'DOE25'!L328+'DOE25'!L333+'DOE25'!L334+'DOE25'!L335-F31-G31</f>
        <v>1575549.9799999997</v>
      </c>
      <c r="E31" s="243"/>
      <c r="F31" s="255">
        <f>'DOE25'!J290+'DOE25'!J309+'DOE25'!J328+'DOE25'!J333+'DOE25'!J334+'DOE25'!J335</f>
        <v>65750.260000000009</v>
      </c>
      <c r="G31" s="53">
        <f>'DOE25'!K290+'DOE25'!K309+'DOE25'!K328+'DOE25'!K333+'DOE25'!K334+'DOE25'!K335</f>
        <v>7724.22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44762673.564999998</v>
      </c>
      <c r="E33" s="246">
        <f>SUM(E5:E31)</f>
        <v>571935.11999999988</v>
      </c>
      <c r="F33" s="246">
        <f>SUM(F5:F31)</f>
        <v>1042119.46</v>
      </c>
      <c r="G33" s="246">
        <f>SUM(G5:G31)</f>
        <v>51990.479999999996</v>
      </c>
      <c r="H33" s="246">
        <f>SUM(H5:H31)</f>
        <v>3743156.59</v>
      </c>
    </row>
    <row r="35" spans="2:8" ht="12" thickBot="1" x14ac:dyDescent="0.25">
      <c r="B35" s="253" t="s">
        <v>841</v>
      </c>
      <c r="D35" s="254">
        <f>E33</f>
        <v>571935.11999999988</v>
      </c>
      <c r="E35" s="249"/>
    </row>
    <row r="36" spans="2:8" ht="12" thickTop="1" x14ac:dyDescent="0.2">
      <c r="B36" t="s">
        <v>809</v>
      </c>
      <c r="D36" s="20">
        <f>D33</f>
        <v>44762673.564999998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Governor Wentworth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574758.49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38239.19</v>
      </c>
      <c r="D11" s="95">
        <f>'DOE25'!G12</f>
        <v>100181.1</v>
      </c>
      <c r="E11" s="95">
        <f>'DOE25'!H12</f>
        <v>0</v>
      </c>
      <c r="F11" s="95">
        <f>'DOE25'!I12</f>
        <v>0</v>
      </c>
      <c r="G11" s="95">
        <f>'DOE25'!J12</f>
        <v>44108.76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548397.4</v>
      </c>
      <c r="D12" s="95">
        <f>'DOE25'!G13</f>
        <v>37800.99</v>
      </c>
      <c r="E12" s="95">
        <f>'DOE25'!H13</f>
        <v>265323.12</v>
      </c>
      <c r="F12" s="95">
        <f>'DOE25'!I13</f>
        <v>0</v>
      </c>
      <c r="G12" s="95">
        <f>'DOE25'!J13</f>
        <v>1546395.37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2893.27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33713.1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1198011.4500000002</v>
      </c>
      <c r="D18" s="41">
        <f>SUM(D8:D17)</f>
        <v>137982.09</v>
      </c>
      <c r="E18" s="41">
        <f>SUM(E8:E17)</f>
        <v>265323.12</v>
      </c>
      <c r="F18" s="41">
        <f>SUM(F8:F17)</f>
        <v>0</v>
      </c>
      <c r="G18" s="41">
        <f>SUM(G8:G17)</f>
        <v>1590504.1300000001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194158.27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515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331889.59999999998</v>
      </c>
      <c r="D27" s="95">
        <f>'DOE25'!G28</f>
        <v>19211.5</v>
      </c>
      <c r="E27" s="95">
        <f>'DOE25'!H28</f>
        <v>26934.2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5374.54</v>
      </c>
      <c r="D29" s="95">
        <f>'DOE25'!G30</f>
        <v>15381.81</v>
      </c>
      <c r="E29" s="95">
        <f>'DOE25'!H30</f>
        <v>44230.65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337264.13999999996</v>
      </c>
      <c r="D31" s="41">
        <f>SUM(D21:D30)</f>
        <v>35108.31</v>
      </c>
      <c r="E31" s="41">
        <f>SUM(E21:E30)</f>
        <v>265323.12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33713.1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102873.78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60000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1590504.13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29591.040000000001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737443.17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860747.31</v>
      </c>
      <c r="D50" s="41">
        <f>SUM(D34:D49)</f>
        <v>102873.78</v>
      </c>
      <c r="E50" s="41">
        <f>SUM(E34:E49)</f>
        <v>0</v>
      </c>
      <c r="F50" s="41">
        <f>SUM(F34:F49)</f>
        <v>0</v>
      </c>
      <c r="G50" s="41">
        <f>SUM(G34:G49)</f>
        <v>1590504.13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1198011.45</v>
      </c>
      <c r="D51" s="41">
        <f>D50+D31</f>
        <v>137982.09</v>
      </c>
      <c r="E51" s="41">
        <f>E50+E31</f>
        <v>265323.12</v>
      </c>
      <c r="F51" s="41">
        <f>F50+F31</f>
        <v>0</v>
      </c>
      <c r="G51" s="41">
        <f>G50+G31</f>
        <v>1590504.13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29497764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1962154.6099999999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693.65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35234.089999999997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445506.17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325541.63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11195.37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2288389.8899999997</v>
      </c>
      <c r="D62" s="130">
        <f>SUM(D57:D61)</f>
        <v>445506.17</v>
      </c>
      <c r="E62" s="130">
        <f>SUM(E57:E61)</f>
        <v>0</v>
      </c>
      <c r="F62" s="130">
        <f>SUM(F57:F61)</f>
        <v>0</v>
      </c>
      <c r="G62" s="130">
        <f>SUM(G57:G61)</f>
        <v>46429.46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31786153.890000001</v>
      </c>
      <c r="D63" s="22">
        <f>D56+D62</f>
        <v>445506.17</v>
      </c>
      <c r="E63" s="22">
        <f>E56+E62</f>
        <v>0</v>
      </c>
      <c r="F63" s="22">
        <f>F56+F62</f>
        <v>0</v>
      </c>
      <c r="G63" s="22">
        <f>G56+G62</f>
        <v>46429.46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3675223.76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9930100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9754.7800000000007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13615078.539999999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1528728.44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309506.84999999998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181140.34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12565.56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2019375.6300000001</v>
      </c>
      <c r="D78" s="130">
        <f>SUM(D72:D77)</f>
        <v>12565.56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15634454.17</v>
      </c>
      <c r="D81" s="130">
        <f>SUM(D79:D80)+D78+D70</f>
        <v>12565.56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227963.55</v>
      </c>
      <c r="D88" s="95">
        <f>SUM('DOE25'!G153:G161)</f>
        <v>471580.06</v>
      </c>
      <c r="E88" s="95">
        <f>SUM('DOE25'!H153:H161)</f>
        <v>1651207.15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227963.55</v>
      </c>
      <c r="D91" s="131">
        <f>SUM(D85:D90)</f>
        <v>471580.06</v>
      </c>
      <c r="E91" s="131">
        <f>SUM(E85:E90)</f>
        <v>1651207.15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759</v>
      </c>
      <c r="C104" s="86">
        <f>C63+C81+C91+C103</f>
        <v>47648571.609999999</v>
      </c>
      <c r="D104" s="86">
        <f>D63+D81+D91+D103</f>
        <v>929651.79</v>
      </c>
      <c r="E104" s="86">
        <f>E63+E81+E91+E103</f>
        <v>1651207.15</v>
      </c>
      <c r="F104" s="86">
        <f>F63+F81+F91+F103</f>
        <v>0</v>
      </c>
      <c r="G104" s="86">
        <f>G63+G81+G103</f>
        <v>106429.45999999999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19729449.729999997</v>
      </c>
      <c r="D109" s="24" t="s">
        <v>286</v>
      </c>
      <c r="E109" s="95">
        <f>('DOE25'!L276)+('DOE25'!L295)+('DOE25'!L314)</f>
        <v>544213.19999999995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8109944.5099999988</v>
      </c>
      <c r="D110" s="24" t="s">
        <v>286</v>
      </c>
      <c r="E110" s="95">
        <f>('DOE25'!L277)+('DOE25'!L296)+('DOE25'!L315)</f>
        <v>393889.64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1326816.4600000002</v>
      </c>
      <c r="D111" s="24" t="s">
        <v>286</v>
      </c>
      <c r="E111" s="95">
        <f>('DOE25'!L278)+('DOE25'!L297)+('DOE25'!L316)</f>
        <v>134756.94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696950.68</v>
      </c>
      <c r="D112" s="24" t="s">
        <v>286</v>
      </c>
      <c r="E112" s="95">
        <f>+('DOE25'!L279)+('DOE25'!L298)+('DOE25'!L317)</f>
        <v>18905.439999999999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17094.23</v>
      </c>
      <c r="D114" s="24" t="s">
        <v>286</v>
      </c>
      <c r="E114" s="95">
        <f>+ SUM('DOE25'!L333:L335)</f>
        <v>90458.67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29880255.609999996</v>
      </c>
      <c r="D115" s="86">
        <f>SUM(D109:D114)</f>
        <v>0</v>
      </c>
      <c r="E115" s="86">
        <f>SUM(E109:E114)</f>
        <v>1182223.8899999999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2202356.0699999998</v>
      </c>
      <c r="D118" s="24" t="s">
        <v>286</v>
      </c>
      <c r="E118" s="95">
        <f>+('DOE25'!L281)+('DOE25'!L300)+('DOE25'!L319)</f>
        <v>25760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1618925.96</v>
      </c>
      <c r="D119" s="24" t="s">
        <v>286</v>
      </c>
      <c r="E119" s="95">
        <f>+('DOE25'!L282)+('DOE25'!L301)+('DOE25'!L320)</f>
        <v>313761.09999999998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907197.25999999978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2882683.4299999997</v>
      </c>
      <c r="D121" s="24" t="s">
        <v>286</v>
      </c>
      <c r="E121" s="95">
        <f>+('DOE25'!L284)+('DOE25'!L303)+('DOE25'!L322)</f>
        <v>116386.33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542559.01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3790622.3100000005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2252267.585</v>
      </c>
      <c r="D124" s="24" t="s">
        <v>286</v>
      </c>
      <c r="E124" s="95">
        <f>+('DOE25'!L287)+('DOE25'!L306)+('DOE25'!L325)</f>
        <v>10893.14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892840.82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14196611.625</v>
      </c>
      <c r="D128" s="86">
        <f>SUM(D118:D127)</f>
        <v>892840.82</v>
      </c>
      <c r="E128" s="86">
        <f>SUM(E118:E127)</f>
        <v>466800.57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149999.98000000001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2624860.7999999998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1118295.79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2182.69</v>
      </c>
      <c r="F134" s="95">
        <f>'DOE25'!K381</f>
        <v>0</v>
      </c>
      <c r="G134" s="95">
        <f>'DOE25'!K434</f>
        <v>19077.099999999999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106429.45999999999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-46429.459999999992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3953156.57</v>
      </c>
      <c r="D144" s="141">
        <f>SUM(D130:D143)</f>
        <v>0</v>
      </c>
      <c r="E144" s="141">
        <f>SUM(E130:E143)</f>
        <v>2182.69</v>
      </c>
      <c r="F144" s="141">
        <f>SUM(F130:F143)</f>
        <v>0</v>
      </c>
      <c r="G144" s="141">
        <f>SUM(G130:G143)</f>
        <v>19077.099999999999</v>
      </c>
    </row>
    <row r="145" spans="1:9" ht="12.75" thickTop="1" thickBot="1" x14ac:dyDescent="0.25">
      <c r="A145" s="33" t="s">
        <v>244</v>
      </c>
      <c r="C145" s="86">
        <f>(C115+C128+C144)</f>
        <v>48030023.805</v>
      </c>
      <c r="D145" s="86">
        <f>(D115+D128+D144)</f>
        <v>892840.82</v>
      </c>
      <c r="E145" s="86">
        <f>(E115+E128+E144)</f>
        <v>1651207.15</v>
      </c>
      <c r="F145" s="86">
        <f>(F115+F128+F144)</f>
        <v>0</v>
      </c>
      <c r="G145" s="86">
        <f>(G115+G128+G144)</f>
        <v>19077.099999999999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30</v>
      </c>
      <c r="C151" s="153">
        <f>'DOE25'!G490</f>
        <v>30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07/09</v>
      </c>
      <c r="C152" s="152" t="str">
        <f>'DOE25'!G491</f>
        <v>07/10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07/39</v>
      </c>
      <c r="C153" s="152" t="str">
        <f>'DOE25'!G492</f>
        <v>08/40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25000000</v>
      </c>
      <c r="C154" s="137">
        <f>'DOE25'!G493</f>
        <v>325508500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4.3</v>
      </c>
      <c r="C155" s="137">
        <f>'DOE25'!G494</f>
        <v>4.46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15846330.949999999</v>
      </c>
      <c r="C156" s="137">
        <f>'DOE25'!G495</f>
        <v>21232855.199999999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37079186.149999999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14777311.17</v>
      </c>
      <c r="C159" s="137">
        <f>'DOE25'!G498</f>
        <v>19600917.140000001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34378228.310000002</v>
      </c>
    </row>
    <row r="160" spans="1:9" x14ac:dyDescent="0.2">
      <c r="A160" s="22" t="s">
        <v>36</v>
      </c>
      <c r="B160" s="137">
        <f>'DOE25'!F499</f>
        <v>18156068.120000001</v>
      </c>
      <c r="C160" s="137">
        <f>'DOE25'!G499</f>
        <v>26694776.609999999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44850844.730000004</v>
      </c>
    </row>
    <row r="161" spans="1:7" x14ac:dyDescent="0.2">
      <c r="A161" s="22" t="s">
        <v>37</v>
      </c>
      <c r="B161" s="137">
        <f>'DOE25'!F500</f>
        <v>32933379.289999999</v>
      </c>
      <c r="C161" s="137">
        <f>'DOE25'!G500</f>
        <v>46295693.75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79229073.039999992</v>
      </c>
    </row>
    <row r="162" spans="1:7" x14ac:dyDescent="0.2">
      <c r="A162" s="22" t="s">
        <v>38</v>
      </c>
      <c r="B162" s="137">
        <f>'DOE25'!F501</f>
        <v>1022161.25</v>
      </c>
      <c r="C162" s="137">
        <f>'DOE25'!G501</f>
        <v>1412855.44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2435016.69</v>
      </c>
    </row>
    <row r="163" spans="1:7" x14ac:dyDescent="0.2">
      <c r="A163" s="22" t="s">
        <v>39</v>
      </c>
      <c r="B163" s="137">
        <f>'DOE25'!F502</f>
        <v>436137</v>
      </c>
      <c r="C163" s="137">
        <f>'DOE25'!G502</f>
        <v>691007.06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1127144.06</v>
      </c>
    </row>
    <row r="164" spans="1:7" x14ac:dyDescent="0.2">
      <c r="A164" s="22" t="s">
        <v>246</v>
      </c>
      <c r="B164" s="137">
        <f>'DOE25'!F503</f>
        <v>1458298.25</v>
      </c>
      <c r="C164" s="137">
        <f>'DOE25'!G503</f>
        <v>2103862.5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3562160.75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Governor Wentworth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18448</v>
      </c>
    </row>
    <row r="5" spans="1:4" x14ac:dyDescent="0.2">
      <c r="B5" t="s">
        <v>698</v>
      </c>
      <c r="C5" s="179">
        <f>IF('DOE25'!G665+'DOE25'!G670=0,0,ROUND('DOE25'!G672,0))</f>
        <v>18548</v>
      </c>
    </row>
    <row r="6" spans="1:4" x14ac:dyDescent="0.2">
      <c r="B6" t="s">
        <v>62</v>
      </c>
      <c r="C6" s="179">
        <f>IF('DOE25'!H665+'DOE25'!H670=0,0,ROUND('DOE25'!H672,0))</f>
        <v>17820</v>
      </c>
    </row>
    <row r="7" spans="1:4" x14ac:dyDescent="0.2">
      <c r="B7" t="s">
        <v>699</v>
      </c>
      <c r="C7" s="179">
        <f>IF('DOE25'!I665+'DOE25'!I670=0,0,ROUND('DOE25'!I672,0))</f>
        <v>18252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20273663</v>
      </c>
      <c r="D10" s="182">
        <f>ROUND((C10/$C$28)*100,1)</f>
        <v>42.9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8503834</v>
      </c>
      <c r="D11" s="182">
        <f>ROUND((C11/$C$28)*100,1)</f>
        <v>18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1461573</v>
      </c>
      <c r="D12" s="182">
        <f>ROUND((C12/$C$28)*100,1)</f>
        <v>3.1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715856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2228116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1932687</v>
      </c>
      <c r="D16" s="182">
        <f t="shared" si="0"/>
        <v>4.0999999999999996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907197</v>
      </c>
      <c r="D17" s="182">
        <f t="shared" si="0"/>
        <v>1.9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2999070</v>
      </c>
      <c r="D18" s="182">
        <f t="shared" si="0"/>
        <v>6.3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542559</v>
      </c>
      <c r="D19" s="182">
        <f t="shared" si="0"/>
        <v>1.1000000000000001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3790622</v>
      </c>
      <c r="D20" s="182">
        <f t="shared" si="0"/>
        <v>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2263161</v>
      </c>
      <c r="D21" s="182">
        <f t="shared" si="0"/>
        <v>4.8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107553</v>
      </c>
      <c r="D24" s="182">
        <f t="shared" si="0"/>
        <v>0.2</v>
      </c>
    </row>
    <row r="25" spans="1:4" x14ac:dyDescent="0.2">
      <c r="A25">
        <v>5120</v>
      </c>
      <c r="B25" t="s">
        <v>714</v>
      </c>
      <c r="C25" s="179">
        <f>ROUND('DOE25'!L261+'DOE25'!L342,0)</f>
        <v>1118296</v>
      </c>
      <c r="D25" s="182">
        <f t="shared" si="0"/>
        <v>2.4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447334.83</v>
      </c>
      <c r="D27" s="182">
        <f t="shared" si="0"/>
        <v>0.9</v>
      </c>
    </row>
    <row r="28" spans="1:4" x14ac:dyDescent="0.2">
      <c r="B28" s="187" t="s">
        <v>717</v>
      </c>
      <c r="C28" s="180">
        <f>SUM(C10:C27)</f>
        <v>47291521.829999998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150000</v>
      </c>
    </row>
    <row r="30" spans="1:4" x14ac:dyDescent="0.2">
      <c r="B30" s="187" t="s">
        <v>723</v>
      </c>
      <c r="C30" s="180">
        <f>SUM(C28:C29)</f>
        <v>47441521.829999998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2624861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29497764</v>
      </c>
      <c r="D35" s="182">
        <f t="shared" ref="D35:D40" si="1">ROUND((C35/$C$41)*100,1)</f>
        <v>59.2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2334819.3500000015</v>
      </c>
      <c r="D36" s="182">
        <f t="shared" si="1"/>
        <v>4.7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13605324</v>
      </c>
      <c r="D37" s="182">
        <f t="shared" si="1"/>
        <v>27.3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2041696</v>
      </c>
      <c r="D38" s="182">
        <f t="shared" si="1"/>
        <v>4.0999999999999996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2350751</v>
      </c>
      <c r="D39" s="182">
        <f t="shared" si="1"/>
        <v>4.7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49830354.350000001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Governor Wentworth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2018-08-22T12:51:20Z</cp:lastPrinted>
  <dcterms:created xsi:type="dcterms:W3CDTF">1997-12-04T19:04:30Z</dcterms:created>
  <dcterms:modified xsi:type="dcterms:W3CDTF">2018-12-03T19:00:33Z</dcterms:modified>
</cp:coreProperties>
</file>