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J46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H647" i="1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H25" i="13" s="1"/>
  <c r="C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E56" i="2" s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C12" i="10"/>
  <c r="C19" i="10"/>
  <c r="L250" i="1"/>
  <c r="L332" i="1"/>
  <c r="E113" i="2" s="1"/>
  <c r="L254" i="1"/>
  <c r="C25" i="10"/>
  <c r="L268" i="1"/>
  <c r="C142" i="2" s="1"/>
  <c r="L269" i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C113" i="2"/>
  <c r="C114" i="2"/>
  <c r="E114" i="2"/>
  <c r="D115" i="2"/>
  <c r="F115" i="2"/>
  <c r="G115" i="2"/>
  <c r="E118" i="2"/>
  <c r="E119" i="2"/>
  <c r="C120" i="2"/>
  <c r="E120" i="2"/>
  <c r="E128" i="2" s="1"/>
  <c r="C121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G338" i="1" s="1"/>
  <c r="G352" i="1" s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 s="1"/>
  <c r="H641" i="1" s="1"/>
  <c r="J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G643" i="1"/>
  <c r="H643" i="1"/>
  <c r="G644" i="1"/>
  <c r="G645" i="1"/>
  <c r="H645" i="1"/>
  <c r="G650" i="1"/>
  <c r="G652" i="1"/>
  <c r="H652" i="1"/>
  <c r="G653" i="1"/>
  <c r="H653" i="1"/>
  <c r="G654" i="1"/>
  <c r="H654" i="1"/>
  <c r="H655" i="1"/>
  <c r="J655" i="1" s="1"/>
  <c r="F192" i="1"/>
  <c r="L256" i="1"/>
  <c r="C26" i="10"/>
  <c r="L351" i="1"/>
  <c r="A31" i="12"/>
  <c r="A40" i="12"/>
  <c r="D12" i="13"/>
  <c r="C12" i="13" s="1"/>
  <c r="D18" i="13"/>
  <c r="C18" i="13" s="1"/>
  <c r="D17" i="13"/>
  <c r="C17" i="13" s="1"/>
  <c r="F78" i="2"/>
  <c r="F81" i="2" s="1"/>
  <c r="F18" i="2"/>
  <c r="E103" i="2"/>
  <c r="G62" i="2"/>
  <c r="D19" i="13"/>
  <c r="C19" i="13" s="1"/>
  <c r="E13" i="13"/>
  <c r="C13" i="13" s="1"/>
  <c r="E78" i="2"/>
  <c r="J571" i="1"/>
  <c r="K571" i="1"/>
  <c r="L433" i="1"/>
  <c r="I169" i="1"/>
  <c r="J643" i="1"/>
  <c r="I476" i="1"/>
  <c r="H625" i="1" s="1"/>
  <c r="J625" i="1" s="1"/>
  <c r="F169" i="1"/>
  <c r="J140" i="1"/>
  <c r="F571" i="1"/>
  <c r="I552" i="1"/>
  <c r="K550" i="1"/>
  <c r="G22" i="2"/>
  <c r="K545" i="1"/>
  <c r="H552" i="1"/>
  <c r="C29" i="10"/>
  <c r="H140" i="1"/>
  <c r="L393" i="1"/>
  <c r="C138" i="2" s="1"/>
  <c r="F22" i="13"/>
  <c r="H571" i="1"/>
  <c r="L560" i="1"/>
  <c r="G192" i="1"/>
  <c r="H192" i="1"/>
  <c r="L309" i="1"/>
  <c r="E16" i="13"/>
  <c r="C16" i="13" s="1"/>
  <c r="J645" i="1"/>
  <c r="L570" i="1"/>
  <c r="I571" i="1"/>
  <c r="J636" i="1"/>
  <c r="G36" i="2"/>
  <c r="L565" i="1"/>
  <c r="K551" i="1"/>
  <c r="C22" i="13"/>
  <c r="L401" i="1" l="1"/>
  <c r="C139" i="2" s="1"/>
  <c r="F552" i="1"/>
  <c r="K605" i="1"/>
  <c r="G648" i="1" s="1"/>
  <c r="G649" i="1"/>
  <c r="J649" i="1" s="1"/>
  <c r="C56" i="2"/>
  <c r="A13" i="12"/>
  <c r="I460" i="1"/>
  <c r="I461" i="1" s="1"/>
  <c r="H642" i="1" s="1"/>
  <c r="J642" i="1" s="1"/>
  <c r="L419" i="1"/>
  <c r="L434" i="1" s="1"/>
  <c r="G638" i="1" s="1"/>
  <c r="J638" i="1" s="1"/>
  <c r="F661" i="1"/>
  <c r="I661" i="1" s="1"/>
  <c r="J338" i="1"/>
  <c r="J352" i="1" s="1"/>
  <c r="C124" i="2"/>
  <c r="L247" i="1"/>
  <c r="G651" i="1"/>
  <c r="J651" i="1" s="1"/>
  <c r="D15" i="13"/>
  <c r="C15" i="13" s="1"/>
  <c r="C11" i="10"/>
  <c r="H169" i="1"/>
  <c r="C35" i="10"/>
  <c r="H112" i="1"/>
  <c r="E62" i="2"/>
  <c r="E63" i="2" s="1"/>
  <c r="E81" i="2"/>
  <c r="G156" i="2"/>
  <c r="G81" i="2"/>
  <c r="G157" i="2"/>
  <c r="D62" i="2"/>
  <c r="D63" i="2" s="1"/>
  <c r="G164" i="2"/>
  <c r="C70" i="2"/>
  <c r="D18" i="2"/>
  <c r="F476" i="1"/>
  <c r="H622" i="1" s="1"/>
  <c r="J622" i="1" s="1"/>
  <c r="J640" i="1"/>
  <c r="J639" i="1"/>
  <c r="H52" i="1"/>
  <c r="H619" i="1" s="1"/>
  <c r="J619" i="1" s="1"/>
  <c r="E31" i="2"/>
  <c r="G624" i="1"/>
  <c r="D50" i="2"/>
  <c r="D31" i="2"/>
  <c r="K271" i="1"/>
  <c r="H33" i="13"/>
  <c r="K598" i="1"/>
  <c r="G647" i="1" s="1"/>
  <c r="J647" i="1" s="1"/>
  <c r="I545" i="1"/>
  <c r="L544" i="1"/>
  <c r="L529" i="1"/>
  <c r="L524" i="1"/>
  <c r="K549" i="1"/>
  <c r="K552" i="1" s="1"/>
  <c r="G545" i="1"/>
  <c r="K503" i="1"/>
  <c r="K500" i="1"/>
  <c r="J476" i="1"/>
  <c r="H626" i="1" s="1"/>
  <c r="H476" i="1"/>
  <c r="H624" i="1" s="1"/>
  <c r="F338" i="1"/>
  <c r="F352" i="1" s="1"/>
  <c r="G476" i="1"/>
  <c r="H623" i="1" s="1"/>
  <c r="J623" i="1" s="1"/>
  <c r="H408" i="1"/>
  <c r="H644" i="1" s="1"/>
  <c r="J644" i="1" s="1"/>
  <c r="D127" i="2"/>
  <c r="D128" i="2" s="1"/>
  <c r="D145" i="2" s="1"/>
  <c r="G661" i="1"/>
  <c r="D29" i="13"/>
  <c r="C29" i="13" s="1"/>
  <c r="L362" i="1"/>
  <c r="G635" i="1" s="1"/>
  <c r="J635" i="1" s="1"/>
  <c r="L328" i="1"/>
  <c r="E112" i="2"/>
  <c r="E115" i="2" s="1"/>
  <c r="C13" i="10"/>
  <c r="H338" i="1"/>
  <c r="H352" i="1" s="1"/>
  <c r="C16" i="10"/>
  <c r="L290" i="1"/>
  <c r="C17" i="10"/>
  <c r="G257" i="1"/>
  <c r="G271" i="1" s="1"/>
  <c r="C109" i="2"/>
  <c r="L229" i="1"/>
  <c r="G660" i="1" s="1"/>
  <c r="H257" i="1"/>
  <c r="H271" i="1" s="1"/>
  <c r="F662" i="1"/>
  <c r="I662" i="1" s="1"/>
  <c r="C21" i="10"/>
  <c r="D14" i="13"/>
  <c r="C14" i="13" s="1"/>
  <c r="E8" i="13"/>
  <c r="C8" i="13" s="1"/>
  <c r="C119" i="2"/>
  <c r="D7" i="13"/>
  <c r="C7" i="13" s="1"/>
  <c r="C118" i="2"/>
  <c r="D6" i="13"/>
  <c r="C6" i="13" s="1"/>
  <c r="C18" i="2"/>
  <c r="L211" i="1"/>
  <c r="C110" i="2"/>
  <c r="D5" i="13"/>
  <c r="C5" i="13" s="1"/>
  <c r="C10" i="10"/>
  <c r="C62" i="2"/>
  <c r="C78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F193" i="1" s="1"/>
  <c r="G627" i="1" s="1"/>
  <c r="J627" i="1" s="1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63" i="2" l="1"/>
  <c r="C81" i="2"/>
  <c r="C104" i="2" s="1"/>
  <c r="H648" i="1"/>
  <c r="J648" i="1" s="1"/>
  <c r="H660" i="1"/>
  <c r="H664" i="1" s="1"/>
  <c r="H667" i="1" s="1"/>
  <c r="C115" i="2"/>
  <c r="H193" i="1"/>
  <c r="G629" i="1" s="1"/>
  <c r="J629" i="1" s="1"/>
  <c r="C36" i="10"/>
  <c r="C39" i="10"/>
  <c r="E104" i="2"/>
  <c r="C128" i="2"/>
  <c r="E145" i="2"/>
  <c r="E51" i="2"/>
  <c r="J624" i="1"/>
  <c r="D51" i="2"/>
  <c r="L545" i="1"/>
  <c r="H646" i="1"/>
  <c r="J646" i="1" s="1"/>
  <c r="G664" i="1"/>
  <c r="G667" i="1" s="1"/>
  <c r="C27" i="10"/>
  <c r="C28" i="10" s="1"/>
  <c r="D12" i="10" s="1"/>
  <c r="L338" i="1"/>
  <c r="L352" i="1" s="1"/>
  <c r="G633" i="1" s="1"/>
  <c r="J633" i="1" s="1"/>
  <c r="F660" i="1"/>
  <c r="F664" i="1" s="1"/>
  <c r="F672" i="1" s="1"/>
  <c r="C4" i="10" s="1"/>
  <c r="D31" i="13"/>
  <c r="C31" i="13" s="1"/>
  <c r="E33" i="13"/>
  <c r="D35" i="13" s="1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C145" i="2"/>
  <c r="G672" i="1"/>
  <c r="C5" i="10" s="1"/>
  <c r="I660" i="1"/>
  <c r="I664" i="1" s="1"/>
  <c r="I672" i="1" s="1"/>
  <c r="C7" i="10" s="1"/>
  <c r="F667" i="1"/>
  <c r="D33" i="13"/>
  <c r="D36" i="13" s="1"/>
  <c r="D15" i="10"/>
  <c r="D11" i="10"/>
  <c r="D16" i="10"/>
  <c r="D19" i="10"/>
  <c r="D22" i="10"/>
  <c r="D26" i="10"/>
  <c r="D27" i="10"/>
  <c r="D24" i="10"/>
  <c r="D17" i="10"/>
  <c r="D10" i="10"/>
  <c r="C30" i="10"/>
  <c r="D23" i="10"/>
  <c r="D20" i="10"/>
  <c r="D25" i="10"/>
  <c r="D13" i="10"/>
  <c r="D21" i="10"/>
  <c r="D18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<sst xmlns="http://schemas.openxmlformats.org/spreadsheetml/2006/main" count="3960" uniqueCount="916">
  <si>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</si>
  <si>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</si>
  <si>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</si>
  <si>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</si>
  <si>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</si>
  <si>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</si>
  <si>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</si>
  <si>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</si>
  <si>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</si>
  <si>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</si>
  <si>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</si>
  <si>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</si>
  <si>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</si>
  <si>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</si>
  <si>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</si>
  <si>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</si>
  <si>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</si>
  <si>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</si>
  <si>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</si>
  <si>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</si>
  <si>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</si>
  <si>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</si>
  <si>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</si>
  <si>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</si>
  <si>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</si>
  <si>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</si>
  <si>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</si>
  <si>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</si>
  <si>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</si>
  <si>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</si>
  <si>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</si>
  <si>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</si>
  <si>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</si>
  <si>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</si>
  <si>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</si>
  <si>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</si>
  <si>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</si>
  <si>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</si>
  <si>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</si>
  <si>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</si>
  <si>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</si>
  <si>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</si>
  <si>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</si>
  <si>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</si>
  <si>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</si>
  <si>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</si>
  <si>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</si>
  <si>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</si>
  <si>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</si>
  <si>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</si>
  <si>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</si>
  <si>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</si>
  <si>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</si>
  <si>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</si>
  <si>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</si>
  <si>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</si>
  <si>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</si>
  <si>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</si>
  <si>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</si>
  <si>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</si>
  <si>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</si>
  <si>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</si>
  <si>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</si>
  <si>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</si>
  <si>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</si>
  <si>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</si>
  <si>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</si>
  <si>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</si>
  <si>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</si>
  <si>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</si>
  <si>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</si>
  <si>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</si>
  <si>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</si>
  <si>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</si>
  <si>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</si>
  <si>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</si>
  <si>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</si>
  <si>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</si>
  <si>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</si>
  <si>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</si>
  <si>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</si>
  <si>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</si>
  <si>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</si>
  <si>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</si>
  <si>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</si>
  <si>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</si>
  <si>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</si>
  <si>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</si>
  <si>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</si>
  <si>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</si>
  <si>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</si>
  <si>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</si>
  <si>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</si>
  <si>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</si>
  <si>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</si>
  <si>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</si>
  <si>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</si>
  <si>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</si>
  <si>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</si>
  <si>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</si>
  <si>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</si>
  <si>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</si>
  <si>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</si>
  <si>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</si>
  <si>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</si>
  <si>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</si>
  <si>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</si>
  <si>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</si>
  <si>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</si>
  <si>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</si>
  <si>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</si>
  <si>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</si>
  <si>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</si>
  <si>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</si>
  <si>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</si>
  <si>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</si>
  <si>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</si>
  <si>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</si>
  <si>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</si>
  <si>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</si>
  <si>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</si>
  <si>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</si>
  <si>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</si>
  <si>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</si>
  <si>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</si>
  <si>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</si>
  <si>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</si>
  <si>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</si>
  <si>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</si>
  <si>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</si>
  <si>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</si>
  <si>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</si>
  <si>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</si>
  <si>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</si>
  <si>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</si>
  <si>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</si>
  <si>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</si>
  <si>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</si>
  <si>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</si>
  <si>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</si>
  <si>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</si>
  <si>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</si>
  <si>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</si>
  <si>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</si>
  <si>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</si>
  <si>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</si>
  <si>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</si>
  <si>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</si>
  <si>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</si>
  <si>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</si>
  <si>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</si>
  <si>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</si>
  <si>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</si>
  <si>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</si>
  <si>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</si>
  <si>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</si>
  <si>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</si>
  <si>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</si>
  <si>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</si>
  <si>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</si>
  <si>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</si>
  <si>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</si>
  <si>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</si>
  <si>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</si>
  <si>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</si>
  <si>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</si>
  <si>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</si>
  <si>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</si>
  <si>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</si>
  <si>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</si>
  <si>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</si>
  <si>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</si>
  <si>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</si>
  <si>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</si>
  <si>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</si>
  <si>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</si>
  <si>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</si>
  <si>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</si>
  <si>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</si>
  <si>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</si>
  <si>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</si>
  <si>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</si>
  <si>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</si>
  <si>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</si>
  <si>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</si>
  <si>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</si>
  <si>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</si>
  <si>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</si>
  <si>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</si>
  <si>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</si>
  <si>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</si>
  <si>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</si>
  <si>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</si>
  <si>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</si>
  <si>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</si>
  <si>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</si>
  <si>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</si>
  <si>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</si>
  <si>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</si>
  <si>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</si>
  <si>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</si>
  <si>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</si>
  <si>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</si>
  <si>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</si>
  <si>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</si>
  <si>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</si>
  <si>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</si>
  <si>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</si>
  <si>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</si>
  <si>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</si>
  <si>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</si>
  <si>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</si>
  <si>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</si>
  <si>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</si>
  <si>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</si>
  <si>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</si>
  <si>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</si>
  <si>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</si>
  <si>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</si>
  <si>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</si>
  <si>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</si>
  <si>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</si>
  <si>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</si>
  <si>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</si>
  <si>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</si>
  <si>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</si>
  <si>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</si>
  <si>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</si>
  <si>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</si>
  <si>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</si>
  <si>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</si>
  <si>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</si>
  <si>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</si>
  <si>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</si>
  <si>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</si>
  <si>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</si>
  <si>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</si>
  <si>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</si>
  <si>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</si>
  <si>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</si>
  <si>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</si>
  <si>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</si>
  <si>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</si>
  <si>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</si>
  <si>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</si>
  <si>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</si>
  <si>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</si>
  <si>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</si>
  <si>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</si>
  <si>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</si>
  <si>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</si>
  <si>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</si>
  <si>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</si>
  <si>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</si>
  <si>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</si>
  <si>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</si>
  <si>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</si>
  <si>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</si>
  <si>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</si>
  <si>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</si>
  <si>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</si>
  <si>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</si>
  <si>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</si>
  <si>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</si>
  <si>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</si>
  <si>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</si>
  <si>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</si>
  <si>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</si>
  <si>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</si>
  <si>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</si>
  <si>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</si>
  <si>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</si>
  <si>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</si>
  <si>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</si>
  <si>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</si>
  <si>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</si>
  <si>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</si>
  <si>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</si>
  <si>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</si>
  <si>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</si>
  <si>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</si>
  <si>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</si>
  <si>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</si>
  <si>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</si>
  <si>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</si>
  <si>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</si>
  <si>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</si>
  <si>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</si>
  <si>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</si>
  <si>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</si>
  <si>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</si>
  <si>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</si>
  <si>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</si>
  <si>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</si>
  <si>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</si>
  <si>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</si>
  <si>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</si>
  <si>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</si>
  <si>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</si>
  <si>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</si>
  <si>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</si>
  <si>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</si>
  <si>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</si>
  <si>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</si>
  <si>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</si>
  <si>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</si>
  <si>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</si>
  <si>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</si>
  <si>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</si>
  <si>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</si>
  <si>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</si>
  <si>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</si>
  <si>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</si>
  <si>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</si>
  <si>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</si>
  <si>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</si>
  <si>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</si>
  <si>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</si>
  <si>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</si>
  <si>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</si>
  <si>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</si>
  <si>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</si>
  <si>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</si>
  <si>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</si>
  <si>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</si>
  <si>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</si>
  <si>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</si>
  <si>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</si>
  <si>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</si>
  <si>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</si>
  <si>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</si>
  <si>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</si>
  <si>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</si>
  <si>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</si>
  <si>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</si>
  <si>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</si>
  <si>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</si>
  <si>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</si>
  <si>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</si>
  <si>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</si>
  <si>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</si>
  <si>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</si>
  <si>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</si>
  <si>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</si>
  <si>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</si>
  <si>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</si>
  <si>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</si>
  <si>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</si>
  <si>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</si>
  <si>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</si>
  <si>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</si>
  <si>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</si>
  <si>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</si>
  <si>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</si>
  <si>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</si>
  <si>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</si>
  <si>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</si>
  <si>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</si>
  <si>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</si>
  <si>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</si>
  <si>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</si>
  <si>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</si>
  <si>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</si>
  <si>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</si>
  <si>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</si>
  <si>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</si>
  <si>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</si>
  <si>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</si>
  <si>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</si>
  <si>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</si>
  <si>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</si>
  <si>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</si>
  <si>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</si>
  <si>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</si>
  <si>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</si>
  <si>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</si>
  <si>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</si>
  <si>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</si>
  <si>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</si>
  <si>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</si>
  <si>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</si>
  <si>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</si>
  <si>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</si>
  <si>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</si>
  <si>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</si>
  <si>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</si>
  <si>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</si>
  <si>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</si>
  <si>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</si>
  <si>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</si>
  <si>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</si>
  <si>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</si>
  <si>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</si>
  <si>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</si>
  <si>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</si>
  <si>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</si>
  <si>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</si>
  <si>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</si>
  <si>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</si>
  <si>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</si>
  <si>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</si>
  <si>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</si>
  <si>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</si>
  <si>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</si>
  <si>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</si>
  <si>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</si>
  <si>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</si>
  <si>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</si>
  <si>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</si>
  <si>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</si>
  <si>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</si>
  <si>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</si>
  <si>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</si>
  <si>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</si>
  <si>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</si>
  <si>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</si>
  <si>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</si>
  <si>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</si>
  <si>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</si>
  <si>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</si>
  <si>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</si>
  <si>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</si>
  <si>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</si>
  <si>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</si>
  <si>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</si>
  <si>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</si>
  <si>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</si>
  <si>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</si>
  <si>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</si>
  <si>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</si>
  <si>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</si>
  <si>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</si>
  <si>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</si>
  <si>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</si>
  <si>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</si>
  <si>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</si>
  <si>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</si>
  <si>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</si>
  <si>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</si>
  <si>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</si>
  <si>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</si>
  <si>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</si>
  <si>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</si>
  <si>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</si>
  <si>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</si>
  <si>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</si>
  <si>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</si>
  <si>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</si>
  <si>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</si>
  <si>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</si>
  <si>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</si>
  <si>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</si>
  <si>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</si>
  <si>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</si>
  <si>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</si>
  <si>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</si>
  <si>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</si>
  <si>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</si>
  <si>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</si>
  <si>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</si>
  <si>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</si>
  <si>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</si>
  <si>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</si>
  <si>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</si>
  <si>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</si>
  <si>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</si>
  <si>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</si>
  <si>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</si>
  <si>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</si>
  <si>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</si>
  <si>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</si>
  <si>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</si>
  <si>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</si>
  <si>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</si>
  <si>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</si>
  <si>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</si>
  <si>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</si>
  <si>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</si>
  <si>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</si>
  <si>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</si>
  <si>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</si>
  <si>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</si>
  <si>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</si>
  <si>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</si>
  <si>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</si>
  <si>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</si>
  <si>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</si>
  <si>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</si>
  <si>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</si>
  <si>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</si>
  <si>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</si>
  <si>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</si>
  <si>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</si>
  <si>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</si>
  <si>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</si>
  <si>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</si>
  <si>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</si>
  <si>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</si>
  <si>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</si>
  <si>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</si>
  <si>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</si>
  <si>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</si>
  <si>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</si>
  <si>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</si>
  <si>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</si>
  <si>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</si>
  <si>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</si>
  <si>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</si>
  <si>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</si>
  <si>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</si>
  <si>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</si>
  <si>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</si>
  <si>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</si>
  <si>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</si>
  <si>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</si>
  <si>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</si>
  <si>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</si>
  <si>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</si>
  <si>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</si>
  <si>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</si>
  <si>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</si>
  <si>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</si>
  <si>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</si>
  <si>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</si>
  <si>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</si>
  <si>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</si>
  <si>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</si>
  <si>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</si>
  <si>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</si>
  <si>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</si>
  <si>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</si>
  <si>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</si>
  <si>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</si>
  <si>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</si>
  <si>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</si>
  <si>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</si>
  <si>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</si>
  <si>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</si>
  <si>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</si>
  <si>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</si>
  <si>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</si>
  <si>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</si>
  <si>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</si>
  <si>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</si>
  <si>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</si>
  <si>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</si>
  <si>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</si>
  <si>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</si>
  <si>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</si>
  <si>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</si>
  <si>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</si>
  <si>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</si>
  <si>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</si>
  <si>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</si>
  <si>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</si>
  <si>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</si>
  <si>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</si>
  <si>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</si>
  <si>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</si>
  <si>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</si>
  <si>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</si>
  <si>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</si>
  <si>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</si>
  <si>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</si>
  <si>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</si>
  <si>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</si>
  <si>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</si>
  <si>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</si>
  <si>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</si>
  <si>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</si>
  <si>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</si>
  <si>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</si>
  <si>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</si>
  <si>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</si>
  <si>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</si>
  <si>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</si>
  <si>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</si>
  <si>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</si>
  <si>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</si>
  <si>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</si>
  <si>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</si>
  <si>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</si>
  <si>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</si>
  <si>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</si>
  <si>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</si>
  <si>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</si>
  <si>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</si>
  <si>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</si>
  <si>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</si>
  <si>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</si>
  <si>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</si>
  <si>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</si>
  <si>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</si>
  <si>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</si>
  <si>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</si>
  <si>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</si>
  <si>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</si>
  <si>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</si>
  <si>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</si>
  <si>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</si>
  <si>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</si>
  <si>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</si>
  <si>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</si>
  <si>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</si>
  <si>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</si>
  <si>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</si>
  <si>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</si>
  <si>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</si>
  <si>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</si>
  <si>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</si>
  <si>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</si>
  <si>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</si>
  <si>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</si>
  <si>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</si>
  <si>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</si>
  <si>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</si>
  <si>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</si>
  <si>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</si>
  <si>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</si>
  <si>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</si>
  <si>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</si>
  <si>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</si>
  <si>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</si>
  <si>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</si>
  <si>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</si>
  <si>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</si>
  <si>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</si>
  <si>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</si>
  <si>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</si>
  <si>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</si>
  <si>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</si>
  <si>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</si>
  <si>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</si>
  <si>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</si>
  <si>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</si>
  <si>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</si>
  <si>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</si>
  <si>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</si>
  <si>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</si>
  <si>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</si>
  <si>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</si>
  <si>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</si>
  <si>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</si>
  <si>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</si>
  <si>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</si>
  <si>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</si>
  <si>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</si>
  <si>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</si>
  <si>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</si>
  <si>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</si>
  <si>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</si>
  <si>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</si>
  <si>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</si>
  <si>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</si>
  <si>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</si>
  <si>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</si>
  <si>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</si>
  <si>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</si>
  <si>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</si>
  <si>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</si>
  <si>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</si>
  <si>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</si>
  <si>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</si>
  <si>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</si>
  <si>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</si>
  <si>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</si>
  <si>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</si>
  <si>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</si>
  <si>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</si>
  <si>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</si>
  <si>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</si>
  <si>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</si>
  <si>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</si>
  <si>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</si>
  <si>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</si>
  <si>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</si>
  <si>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</si>
  <si>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</si>
  <si>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</si>
  <si>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</si>
  <si>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</si>
  <si>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</si>
  <si>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</si>
  <si>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</si>
  <si>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</si>
  <si>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</si>
  <si>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</si>
  <si>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</si>
  <si>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</si>
  <si>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</si>
  <si>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</si>
  <si>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</si>
  <si>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</si>
  <si>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</si>
  <si>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</si>
  <si>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</si>
  <si>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</si>
  <si>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</si>
  <si>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</si>
  <si>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</si>
  <si>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</si>
  <si>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</si>
  <si>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</si>
  <si>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</si>
  <si>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</si>
  <si>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</si>
  <si>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</si>
  <si>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</si>
  <si>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</si>
  <si>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</si>
  <si>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</si>
  <si>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</si>
  <si>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</si>
  <si>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</si>
  <si>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</si>
  <si>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</si>
  <si>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</si>
  <si>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</si>
  <si>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</si>
  <si>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</si>
  <si>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</si>
  <si>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</si>
  <si>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</si>
  <si>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</si>
  <si>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</si>
  <si>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</si>
  <si>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</si>
  <si>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</si>
  <si>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</si>
  <si>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</si>
  <si>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</si>
  <si>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</si>
  <si>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</si>
  <si>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</si>
  <si>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</si>
  <si>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</si>
  <si>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</si>
  <si>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</si>
  <si>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</si>
  <si>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</si>
  <si>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</si>
  <si>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</si>
  <si>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</si>
  <si>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</si>
  <si>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</si>
  <si>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</si>
  <si>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</si>
  <si>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</si>
  <si>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</si>
  <si>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</si>
  <si>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</si>
  <si>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</si>
  <si>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</si>
  <si>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</si>
  <si>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</si>
  <si>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</si>
  <si>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</si>
  <si>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</si>
  <si>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</si>
  <si>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</si>
  <si>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</si>
  <si>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</si>
  <si>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</si>
  <si>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</si>
  <si>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</si>
  <si>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</si>
  <si>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</si>
  <si>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</si>
  <si>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</si>
  <si>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</si>
  <si>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</si>
  <si>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</si>
  <si>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</si>
  <si>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</si>
  <si>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</si>
  <si>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</si>
  <si>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</si>
  <si>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</si>
  <si>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</si>
  <si>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</si>
  <si>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</si>
  <si>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</si>
  <si>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</si>
  <si>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</si>
  <si>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</si>
  <si>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</si>
  <si>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</si>
  <si>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</si>
  <si>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</si>
  <si>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</si>
  <si>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</si>
  <si>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</si>
  <si>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</si>
  <si>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</si>
  <si>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</si>
  <si>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</si>
  <si>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</si>
  <si>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</si>
  <si>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</si>
  <si>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</si>
  <si>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</si>
  <si>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</si>
  <si>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</si>
  <si>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</si>
  <si>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</si>
  <si>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</si>
  <si>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</si>
  <si>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</si>
  <si>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</si>
  <si>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</si>
  <si>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</si>
  <si>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</si>
  <si>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</si>
  <si>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</si>
  <si>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</si>
  <si>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</si>
  <si>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</si>
  <si>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</si>
  <si>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</si>
  <si>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</si>
  <si>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</si>
  <si>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</si>
  <si>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</si>
  <si>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</si>
  <si>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</si>
  <si>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</si>
  <si>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</si>
  <si>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</si>
  <si>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</si>
  <si>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</si>
  <si>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</si>
  <si>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</si>
  <si>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</si>
  <si>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</si>
  <si>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</si>
  <si>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</si>
  <si>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</si>
  <si>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</si>
  <si>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</si>
  <si>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</si>
  <si>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</si>
  <si>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</si>
  <si>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</si>
  <si>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</si>
  <si>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</si>
  <si>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</si>
  <si>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</si>
  <si>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</si>
  <si>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</si>
  <si>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</si>
  <si>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</si>
  <si>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</si>
  <si>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</si>
  <si>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</si>
  <si>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</si>
  <si>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</si>
  <si>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</si>
  <si>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</si>
  <si>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</si>
  <si>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</si>
  <si>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</si>
  <si>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</si>
  <si>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</si>
  <si>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</si>
  <si>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</si>
  <si>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</si>
  <si>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</si>
  <si>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</si>
  <si>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</si>
  <si>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</si>
  <si>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</si>
  <si>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</si>
  <si>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</si>
  <si>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</si>
  <si>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</si>
  <si>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</si>
  <si>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</si>
  <si>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</si>
  <si>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</si>
  <si>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</si>
  <si>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</si>
  <si>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</si>
  <si>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</si>
  <si>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</si>
  <si>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</si>
  <si>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</si>
  <si>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</si>
  <si>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</si>
  <si>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</si>
  <si>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</si>
  <si>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</si>
  <si>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</si>
  <si>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</si>
  <si>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</si>
  <si>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</si>
  <si>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</si>
  <si>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</si>
  <si>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</si>
  <si>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</si>
  <si>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</si>
  <si>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</si>
  <si>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</si>
  <si>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</si>
  <si>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</si>
  <si>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</si>
  <si>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</si>
  <si>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</si>
  <si>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</si>
  <si>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</si>
  <si>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</si>
  <si>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</si>
  <si>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</si>
  <si>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Grantham School District</t>
  </si>
  <si>
    <t>12/08</t>
  </si>
  <si>
    <t>1/29</t>
  </si>
  <si>
    <t>transfer to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</si>
</sst>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0" sqref="F660:F667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211</v>
      </c>
      <c r="C2" s="21">
        <v>211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371143.32</v>
      </c>
      <c r="G9" s="18"/>
      <c r="H9" s="18"/>
      <c r="I9" s="18"/>
      <c r="J9" s="67">
        <f>SUM(I439)</f>
        <v>661856.37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2.17</v>
      </c>
      <c r="G10" s="18"/>
      <c r="H10" s="18">
        <v>0.31</v>
      </c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75.89</v>
      </c>
      <c r="G12" s="18">
        <v>10000</v>
      </c>
      <c r="H12" s="18">
        <v>12521.88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3500</v>
      </c>
      <c r="G13" s="18">
        <v>2834.7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374721.38</v>
      </c>
      <c r="G19" s="41">
        <f>SUM(G9:G18)</f>
        <v>12834.7</v>
      </c>
      <c r="H19" s="41">
        <f>SUM(H9:H18)</f>
        <v>12522.189999999999</v>
      </c>
      <c r="I19" s="41">
        <f>SUM(I9:I18)</f>
        <v>0</v>
      </c>
      <c r="J19" s="41">
        <f>SUM(J9:J18)</f>
        <v>661856.37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100000</v>
      </c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4018.85</v>
      </c>
      <c r="G24" s="18">
        <v>1377.66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31203.95</v>
      </c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50238.33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-789.73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100000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>
        <v>39.69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284671.40000000002</v>
      </c>
      <c r="G32" s="41">
        <f>SUM(G22:G31)</f>
        <v>1417.3500000000001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50000</v>
      </c>
      <c r="G48" s="18">
        <v>10000</v>
      </c>
      <c r="H48" s="18"/>
      <c r="I48" s="18"/>
      <c r="J48" s="13">
        <f>SUM(I459)</f>
        <v>661856.37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>
        <v>1417.35</v>
      </c>
      <c r="H49" s="18">
        <v>12522.19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40049.980000000003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90049.98000000001</v>
      </c>
      <c r="G51" s="41">
        <f>SUM(G35:G50)</f>
        <v>11417.35</v>
      </c>
      <c r="H51" s="41">
        <f>SUM(H35:H50)</f>
        <v>12522.19</v>
      </c>
      <c r="I51" s="41">
        <f>SUM(I35:I50)</f>
        <v>0</v>
      </c>
      <c r="J51" s="41">
        <f>SUM(J35:J50)</f>
        <v>661856.37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374721.38</v>
      </c>
      <c r="G52" s="41">
        <f>G51+G32</f>
        <v>12834.7</v>
      </c>
      <c r="H52" s="41">
        <f>H51+H32</f>
        <v>12522.19</v>
      </c>
      <c r="I52" s="41">
        <f>I51+I32</f>
        <v>0</v>
      </c>
      <c r="J52" s="41">
        <f>J51+J32</f>
        <v>661856.37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6375166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6375166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>
        <v>44833.599999999999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44833.599999999999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21752.02</v>
      </c>
      <c r="G96" s="18"/>
      <c r="H96" s="18"/>
      <c r="I96" s="18"/>
      <c r="J96" s="18">
        <v>6436.42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52701.74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3177.03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24929.05</v>
      </c>
      <c r="G111" s="41">
        <f>SUM(G96:G110)</f>
        <v>52701.74</v>
      </c>
      <c r="H111" s="41">
        <f>SUM(H96:H110)</f>
        <v>0</v>
      </c>
      <c r="I111" s="41">
        <f>SUM(I96:I110)</f>
        <v>0</v>
      </c>
      <c r="J111" s="41">
        <f>SUM(J96:J110)</f>
        <v>6436.42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6400095.0499999998</v>
      </c>
      <c r="G112" s="41">
        <f>G60+G111</f>
        <v>52701.74</v>
      </c>
      <c r="H112" s="41">
        <f>H60+H79+H94+H111</f>
        <v>44833.599999999999</v>
      </c>
      <c r="I112" s="41">
        <f>I60+I111</f>
        <v>0</v>
      </c>
      <c r="J112" s="41">
        <f>J60+J111</f>
        <v>6436.42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520401.04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1075244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1393.54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1597038.58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107513.07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40312.14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700.33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147825.21000000002</v>
      </c>
      <c r="G136" s="41">
        <f>SUM(G123:G135)</f>
        <v>700.33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1744863.79</v>
      </c>
      <c r="G140" s="41">
        <f>G121+SUM(G136:G137)</f>
        <v>700.33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>
        <v>42183.37</v>
      </c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42183.37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10305.23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650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17568.650000000001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63569.99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29687.54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29687.54</v>
      </c>
      <c r="G162" s="41">
        <f>SUM(G150:G161)</f>
        <v>17568.650000000001</v>
      </c>
      <c r="H162" s="41">
        <f>SUM(H150:H161)</f>
        <v>74525.22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29687.54</v>
      </c>
      <c r="G169" s="41">
        <f>G147+G162+SUM(G163:G168)</f>
        <v>17568.650000000001</v>
      </c>
      <c r="H169" s="41">
        <f>H147+H162+SUM(H163:H168)</f>
        <v>116708.59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10000</v>
      </c>
      <c r="H179" s="18"/>
      <c r="I179" s="18"/>
      <c r="J179" s="18">
        <v>100000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26569</v>
      </c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26569</v>
      </c>
      <c r="G183" s="41">
        <f>SUM(G179:G182)</f>
        <v>10000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26569</v>
      </c>
      <c r="G192" s="41">
        <f>G183+SUM(G188:G191)</f>
        <v>10000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8201215.3799999999</v>
      </c>
      <c r="G193" s="47">
        <f>G112+G140+G169+G192</f>
        <v>80970.720000000001</v>
      </c>
      <c r="H193" s="47">
        <f>H112+H140+H169+H192</f>
        <v>161542.19</v>
      </c>
      <c r="I193" s="47">
        <f>I112+I140+I169+I192</f>
        <v>0</v>
      </c>
      <c r="J193" s="47">
        <f>J112+J140+J192</f>
        <v>106436.42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1196560.5</v>
      </c>
      <c r="G197" s="18">
        <v>606254.11</v>
      </c>
      <c r="H197" s="18">
        <v>49444.51</v>
      </c>
      <c r="I197" s="18">
        <v>52369.89</v>
      </c>
      <c r="J197" s="18">
        <v>5730.06</v>
      </c>
      <c r="K197" s="18"/>
      <c r="L197" s="19">
        <f>SUM(F197:K197)</f>
        <v>1910359.0699999998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391390.32</v>
      </c>
      <c r="G198" s="18">
        <v>299447.48</v>
      </c>
      <c r="H198" s="18">
        <v>461713.36</v>
      </c>
      <c r="I198" s="18">
        <v>3416.29</v>
      </c>
      <c r="J198" s="18">
        <v>5295.77</v>
      </c>
      <c r="K198" s="18">
        <v>530</v>
      </c>
      <c r="L198" s="19">
        <f>SUM(F198:K198)</f>
        <v>1161793.2200000002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>
        <v>19220.63</v>
      </c>
      <c r="J200" s="18"/>
      <c r="K200" s="18"/>
      <c r="L200" s="19">
        <f>SUM(F200:K200)</f>
        <v>19220.63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235764.64</v>
      </c>
      <c r="G202" s="18">
        <v>78202.33</v>
      </c>
      <c r="H202" s="18">
        <v>59173.85</v>
      </c>
      <c r="I202" s="18">
        <v>4565.71</v>
      </c>
      <c r="J202" s="18"/>
      <c r="K202" s="18">
        <v>150</v>
      </c>
      <c r="L202" s="19">
        <f t="shared" ref="L202:L208" si="0">SUM(F202:K202)</f>
        <v>377856.53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121564.49</v>
      </c>
      <c r="G203" s="18">
        <v>45095.5</v>
      </c>
      <c r="H203" s="18">
        <v>14178.57</v>
      </c>
      <c r="I203" s="18">
        <v>17046.14</v>
      </c>
      <c r="J203" s="18">
        <v>12865.67</v>
      </c>
      <c r="K203" s="18">
        <v>10000</v>
      </c>
      <c r="L203" s="19">
        <f t="shared" si="0"/>
        <v>220750.37000000002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205379.9</v>
      </c>
      <c r="G204" s="18">
        <v>75987.850000000006</v>
      </c>
      <c r="H204" s="18">
        <v>99568.33</v>
      </c>
      <c r="I204" s="18">
        <v>4659.8</v>
      </c>
      <c r="J204" s="18"/>
      <c r="K204" s="18">
        <v>4715</v>
      </c>
      <c r="L204" s="19">
        <f t="shared" si="0"/>
        <v>390310.88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159272.89000000001</v>
      </c>
      <c r="G205" s="18">
        <v>99310.85</v>
      </c>
      <c r="H205" s="18">
        <v>20434.29</v>
      </c>
      <c r="I205" s="18">
        <v>4475.76</v>
      </c>
      <c r="J205" s="18"/>
      <c r="K205" s="18">
        <v>780</v>
      </c>
      <c r="L205" s="19">
        <f t="shared" si="0"/>
        <v>284273.79000000004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185489.02</v>
      </c>
      <c r="G207" s="18">
        <v>92439.46</v>
      </c>
      <c r="H207" s="18">
        <v>95803.94</v>
      </c>
      <c r="I207" s="18">
        <v>104313.01</v>
      </c>
      <c r="J207" s="18">
        <v>39252.480000000003</v>
      </c>
      <c r="K207" s="18"/>
      <c r="L207" s="19">
        <f t="shared" si="0"/>
        <v>517297.91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149867.35</v>
      </c>
      <c r="I208" s="18"/>
      <c r="J208" s="18"/>
      <c r="K208" s="18"/>
      <c r="L208" s="19">
        <f t="shared" si="0"/>
        <v>149867.35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2495421.7600000002</v>
      </c>
      <c r="G211" s="41">
        <f t="shared" si="1"/>
        <v>1296737.58</v>
      </c>
      <c r="H211" s="41">
        <f t="shared" si="1"/>
        <v>950184.19999999984</v>
      </c>
      <c r="I211" s="41">
        <f t="shared" si="1"/>
        <v>210067.22999999998</v>
      </c>
      <c r="J211" s="41">
        <f t="shared" si="1"/>
        <v>63143.98</v>
      </c>
      <c r="K211" s="41">
        <f t="shared" si="1"/>
        <v>16175</v>
      </c>
      <c r="L211" s="41">
        <f t="shared" si="1"/>
        <v>5031729.75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1017317</v>
      </c>
      <c r="I215" s="18"/>
      <c r="J215" s="18"/>
      <c r="K215" s="18"/>
      <c r="L215" s="19">
        <f>SUM(F215:K215)</f>
        <v>1017317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136757.88</v>
      </c>
      <c r="I216" s="18"/>
      <c r="J216" s="18"/>
      <c r="K216" s="18"/>
      <c r="L216" s="19">
        <f>SUM(F216:K216)</f>
        <v>136757.88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34104.959999999999</v>
      </c>
      <c r="I226" s="18"/>
      <c r="J226" s="18"/>
      <c r="K226" s="18"/>
      <c r="L226" s="19">
        <f t="shared" si="2"/>
        <v>34104.959999999999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1188179.8399999999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1188179.8399999999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1759447.6</v>
      </c>
      <c r="I233" s="18"/>
      <c r="J233" s="18"/>
      <c r="K233" s="18"/>
      <c r="L233" s="19">
        <f>SUM(F233:K233)</f>
        <v>1759447.6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87353.7</v>
      </c>
      <c r="I234" s="18"/>
      <c r="J234" s="18"/>
      <c r="K234" s="18"/>
      <c r="L234" s="19">
        <f>SUM(F234:K234)</f>
        <v>87353.7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61106.01</v>
      </c>
      <c r="I244" s="18"/>
      <c r="J244" s="18"/>
      <c r="K244" s="18"/>
      <c r="L244" s="19">
        <f t="shared" si="4"/>
        <v>61106.01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1907907.31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1907907.31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2495421.7600000002</v>
      </c>
      <c r="G257" s="41">
        <f t="shared" si="8"/>
        <v>1296737.58</v>
      </c>
      <c r="H257" s="41">
        <f t="shared" si="8"/>
        <v>4046271.3499999996</v>
      </c>
      <c r="I257" s="41">
        <f t="shared" si="8"/>
        <v>210067.22999999998</v>
      </c>
      <c r="J257" s="41">
        <f t="shared" si="8"/>
        <v>63143.98</v>
      </c>
      <c r="K257" s="41">
        <f t="shared" si="8"/>
        <v>16175</v>
      </c>
      <c r="L257" s="41">
        <f t="shared" si="8"/>
        <v>8127816.9000000004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355000</v>
      </c>
      <c r="L260" s="19">
        <f>SUM(F260:K260)</f>
        <v>355000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193832.76</v>
      </c>
      <c r="L261" s="19">
        <f>SUM(F261:K261)</f>
        <v>193832.76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10000</v>
      </c>
      <c r="L263" s="19">
        <f>SUM(F263:K263)</f>
        <v>10000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100000</v>
      </c>
      <c r="L266" s="19">
        <f t="shared" si="9"/>
        <v>100000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50000</v>
      </c>
      <c r="L268" s="19">
        <f t="shared" si="9"/>
        <v>50000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708832.76</v>
      </c>
      <c r="L270" s="41">
        <f t="shared" si="9"/>
        <v>708832.76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2495421.7600000002</v>
      </c>
      <c r="G271" s="42">
        <f t="shared" si="11"/>
        <v>1296737.58</v>
      </c>
      <c r="H271" s="42">
        <f t="shared" si="11"/>
        <v>4046271.3499999996</v>
      </c>
      <c r="I271" s="42">
        <f t="shared" si="11"/>
        <v>210067.22999999998</v>
      </c>
      <c r="J271" s="42">
        <f t="shared" si="11"/>
        <v>63143.98</v>
      </c>
      <c r="K271" s="42">
        <f t="shared" si="11"/>
        <v>725007.76</v>
      </c>
      <c r="L271" s="42">
        <f t="shared" si="11"/>
        <v>8836649.6600000001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31041</v>
      </c>
      <c r="G277" s="18"/>
      <c r="H277" s="18">
        <v>31445.57</v>
      </c>
      <c r="I277" s="18">
        <v>1967.78</v>
      </c>
      <c r="J277" s="18">
        <v>28825.75</v>
      </c>
      <c r="K277" s="18"/>
      <c r="L277" s="19">
        <f>SUM(F277:K277)</f>
        <v>93280.1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>
        <v>541.4</v>
      </c>
      <c r="J282" s="18"/>
      <c r="K282" s="18"/>
      <c r="L282" s="19">
        <f t="shared" si="12"/>
        <v>541.4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31041</v>
      </c>
      <c r="G290" s="42">
        <f t="shared" si="13"/>
        <v>0</v>
      </c>
      <c r="H290" s="42">
        <f t="shared" si="13"/>
        <v>31445.57</v>
      </c>
      <c r="I290" s="42">
        <f t="shared" si="13"/>
        <v>2509.1799999999998</v>
      </c>
      <c r="J290" s="42">
        <f t="shared" si="13"/>
        <v>28825.75</v>
      </c>
      <c r="K290" s="42">
        <f t="shared" si="13"/>
        <v>0</v>
      </c>
      <c r="L290" s="41">
        <f t="shared" si="13"/>
        <v>93821.5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43730.77</v>
      </c>
      <c r="G332" s="18">
        <v>7076.44</v>
      </c>
      <c r="H332" s="18">
        <v>5039</v>
      </c>
      <c r="I332" s="18">
        <v>3486.97</v>
      </c>
      <c r="J332" s="18">
        <v>570.82000000000005</v>
      </c>
      <c r="K332" s="18">
        <v>5046.93</v>
      </c>
      <c r="L332" s="19">
        <f t="shared" ref="L332:L337" si="18">SUM(F332:K332)</f>
        <v>64950.93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43730.77</v>
      </c>
      <c r="G337" s="41">
        <f t="shared" si="19"/>
        <v>7076.44</v>
      </c>
      <c r="H337" s="41">
        <f t="shared" si="19"/>
        <v>5039</v>
      </c>
      <c r="I337" s="41">
        <f t="shared" si="19"/>
        <v>3486.97</v>
      </c>
      <c r="J337" s="41">
        <f t="shared" si="19"/>
        <v>570.82000000000005</v>
      </c>
      <c r="K337" s="41">
        <f t="shared" si="19"/>
        <v>5046.93</v>
      </c>
      <c r="L337" s="41">
        <f t="shared" si="18"/>
        <v>64950.93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74771.76999999999</v>
      </c>
      <c r="G338" s="41">
        <f t="shared" si="20"/>
        <v>7076.44</v>
      </c>
      <c r="H338" s="41">
        <f t="shared" si="20"/>
        <v>36484.57</v>
      </c>
      <c r="I338" s="41">
        <f t="shared" si="20"/>
        <v>5996.15</v>
      </c>
      <c r="J338" s="41">
        <f t="shared" si="20"/>
        <v>29396.57</v>
      </c>
      <c r="K338" s="41">
        <f t="shared" si="20"/>
        <v>5046.93</v>
      </c>
      <c r="L338" s="41">
        <f t="shared" si="20"/>
        <v>158772.43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74771.76999999999</v>
      </c>
      <c r="G352" s="41">
        <f>G338</f>
        <v>7076.44</v>
      </c>
      <c r="H352" s="41">
        <f>H338</f>
        <v>36484.57</v>
      </c>
      <c r="I352" s="41">
        <f>I338</f>
        <v>5996.15</v>
      </c>
      <c r="J352" s="41">
        <f>J338</f>
        <v>29396.57</v>
      </c>
      <c r="K352" s="47">
        <f>K338+K351</f>
        <v>5046.93</v>
      </c>
      <c r="L352" s="41">
        <f>L338+L351</f>
        <v>158772.43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43240.05</v>
      </c>
      <c r="G358" s="18">
        <v>25515.9</v>
      </c>
      <c r="H358" s="18"/>
      <c r="I358" s="18">
        <v>26530.68</v>
      </c>
      <c r="J358" s="18">
        <v>353</v>
      </c>
      <c r="K358" s="18"/>
      <c r="L358" s="13">
        <f>SUM(F358:K358)</f>
        <v>95639.63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43240.05</v>
      </c>
      <c r="G362" s="47">
        <f t="shared" si="22"/>
        <v>25515.9</v>
      </c>
      <c r="H362" s="47">
        <f t="shared" si="22"/>
        <v>0</v>
      </c>
      <c r="I362" s="47">
        <f t="shared" si="22"/>
        <v>26530.68</v>
      </c>
      <c r="J362" s="47">
        <f t="shared" si="22"/>
        <v>353</v>
      </c>
      <c r="K362" s="47">
        <f t="shared" si="22"/>
        <v>0</v>
      </c>
      <c r="L362" s="47">
        <f t="shared" si="22"/>
        <v>95639.63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26530.68</v>
      </c>
      <c r="G367" s="18"/>
      <c r="H367" s="18"/>
      <c r="I367" s="56">
        <f>SUM(F367:H367)</f>
        <v>26530.68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26530.68</v>
      </c>
      <c r="G369" s="47">
        <f>SUM(G367:G368)</f>
        <v>0</v>
      </c>
      <c r="H369" s="47">
        <f>SUM(H367:H368)</f>
        <v>0</v>
      </c>
      <c r="I369" s="47">
        <f>SUM(I367:I368)</f>
        <v>26530.68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>
        <v>751.09</v>
      </c>
      <c r="I388" s="18"/>
      <c r="J388" s="24" t="s">
        <v>286</v>
      </c>
      <c r="K388" s="24" t="s">
        <v>286</v>
      </c>
      <c r="L388" s="56">
        <f t="shared" si="25"/>
        <v>751.09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365.12</v>
      </c>
      <c r="I389" s="18"/>
      <c r="J389" s="24" t="s">
        <v>286</v>
      </c>
      <c r="K389" s="24" t="s">
        <v>286</v>
      </c>
      <c r="L389" s="56">
        <f t="shared" si="25"/>
        <v>365.12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1116.21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1116.21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100000</v>
      </c>
      <c r="H397" s="18">
        <v>3738.45</v>
      </c>
      <c r="I397" s="18"/>
      <c r="J397" s="24" t="s">
        <v>286</v>
      </c>
      <c r="K397" s="24" t="s">
        <v>286</v>
      </c>
      <c r="L397" s="56">
        <f t="shared" si="26"/>
        <v>103738.45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970.51</v>
      </c>
      <c r="I398" s="18"/>
      <c r="J398" s="24" t="s">
        <v>286</v>
      </c>
      <c r="K398" s="24" t="s">
        <v>286</v>
      </c>
      <c r="L398" s="56">
        <f t="shared" si="26"/>
        <v>970.51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611.25</v>
      </c>
      <c r="I400" s="18"/>
      <c r="J400" s="24" t="s">
        <v>286</v>
      </c>
      <c r="K400" s="24" t="s">
        <v>286</v>
      </c>
      <c r="L400" s="56">
        <f t="shared" si="26"/>
        <v>611.25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5320.21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105320.20999999999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6436.42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106436.42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>
        <v>14608.29</v>
      </c>
      <c r="K414" s="18"/>
      <c r="L414" s="56">
        <f t="shared" si="27"/>
        <v>14608.29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14608.29</v>
      </c>
      <c r="K419" s="139">
        <f t="shared" si="28"/>
        <v>0</v>
      </c>
      <c r="L419" s="47">
        <f t="shared" si="28"/>
        <v>14608.29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14608.29</v>
      </c>
      <c r="K434" s="47">
        <f t="shared" si="32"/>
        <v>0</v>
      </c>
      <c r="L434" s="47">
        <f t="shared" si="32"/>
        <v>14608.29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76517.64</v>
      </c>
      <c r="G439" s="18">
        <v>585338.73</v>
      </c>
      <c r="H439" s="18"/>
      <c r="I439" s="56">
        <f t="shared" ref="I439:I445" si="33">SUM(F439:H439)</f>
        <v>661856.37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76517.64</v>
      </c>
      <c r="G446" s="13">
        <f>SUM(G439:G445)</f>
        <v>585338.73</v>
      </c>
      <c r="H446" s="13">
        <f>SUM(H439:H445)</f>
        <v>0</v>
      </c>
      <c r="I446" s="13">
        <f>SUM(I439:I445)</f>
        <v>661856.37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76517.64</v>
      </c>
      <c r="G459" s="18">
        <v>585338.73</v>
      </c>
      <c r="H459" s="18"/>
      <c r="I459" s="56">
        <f t="shared" si="34"/>
        <v>661856.37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76517.64</v>
      </c>
      <c r="G460" s="83">
        <f>SUM(G454:G459)</f>
        <v>585338.73</v>
      </c>
      <c r="H460" s="83">
        <f>SUM(H454:H459)</f>
        <v>0</v>
      </c>
      <c r="I460" s="83">
        <f>SUM(I454:I459)</f>
        <v>661856.37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76517.64</v>
      </c>
      <c r="G461" s="42">
        <f>G452+G460</f>
        <v>585338.73</v>
      </c>
      <c r="H461" s="42">
        <f>H452+H460</f>
        <v>0</v>
      </c>
      <c r="I461" s="42">
        <f>I452+I460</f>
        <v>661856.37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720951.64</v>
      </c>
      <c r="G465" s="18">
        <v>-9344.2999999999993</v>
      </c>
      <c r="H465" s="18">
        <v>9753.43</v>
      </c>
      <c r="I465" s="18"/>
      <c r="J465" s="18">
        <v>582889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8201215.3799999999</v>
      </c>
      <c r="G468" s="18">
        <v>80970.720000000001</v>
      </c>
      <c r="H468" s="18">
        <v>161542.19</v>
      </c>
      <c r="I468" s="18"/>
      <c r="J468" s="18">
        <f>6436.42+100000</f>
        <v>106436.42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4532.62</v>
      </c>
      <c r="G469" s="18">
        <v>10000</v>
      </c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8205748</v>
      </c>
      <c r="G470" s="53">
        <f>SUM(G468:G469)</f>
        <v>90970.72</v>
      </c>
      <c r="H470" s="53">
        <f>SUM(H468:H469)</f>
        <v>161542.19</v>
      </c>
      <c r="I470" s="53">
        <f>SUM(I468:I469)</f>
        <v>0</v>
      </c>
      <c r="J470" s="53">
        <f>SUM(J468:J469)</f>
        <v>106436.42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8836649.6600000001</v>
      </c>
      <c r="G472" s="18">
        <v>95639.63</v>
      </c>
      <c r="H472" s="18">
        <v>158772.43</v>
      </c>
      <c r="I472" s="18"/>
      <c r="J472" s="18">
        <v>14608.29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>
        <v>-25430.560000000001</v>
      </c>
      <c r="H473" s="18">
        <v>1</v>
      </c>
      <c r="I473" s="18"/>
      <c r="J473" s="18">
        <v>12860.76</v>
      </c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8836649.6600000001</v>
      </c>
      <c r="G474" s="53">
        <f>SUM(G472:G473)</f>
        <v>70209.070000000007</v>
      </c>
      <c r="H474" s="53">
        <f>SUM(H472:H473)</f>
        <v>158773.43</v>
      </c>
      <c r="I474" s="53">
        <f>SUM(I472:I473)</f>
        <v>0</v>
      </c>
      <c r="J474" s="53">
        <f>SUM(J472:J473)</f>
        <v>27469.050000000003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90049.980000000447</v>
      </c>
      <c r="G476" s="53">
        <f>(G465+G470)- G474</f>
        <v>11417.349999999991</v>
      </c>
      <c r="H476" s="53">
        <f>(H465+H470)- H474</f>
        <v>12522.190000000002</v>
      </c>
      <c r="I476" s="53">
        <f>(I465+I470)- I474</f>
        <v>0</v>
      </c>
      <c r="J476" s="53">
        <f>(J465+J470)- J474</f>
        <v>661856.37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75" t="s">
        <v>915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7150000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5.25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4255000</v>
      </c>
      <c r="G495" s="18"/>
      <c r="H495" s="18"/>
      <c r="I495" s="18"/>
      <c r="J495" s="18"/>
      <c r="K495" s="53">
        <f>SUM(F495:J495)</f>
        <v>4255000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355000</v>
      </c>
      <c r="G497" s="18"/>
      <c r="H497" s="18"/>
      <c r="I497" s="18"/>
      <c r="J497" s="18"/>
      <c r="K497" s="53">
        <f t="shared" si="35"/>
        <v>355000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3900000</v>
      </c>
      <c r="G498" s="204"/>
      <c r="H498" s="204"/>
      <c r="I498" s="204"/>
      <c r="J498" s="204"/>
      <c r="K498" s="205">
        <f t="shared" si="35"/>
        <v>3900000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1787745.24</v>
      </c>
      <c r="G499" s="18"/>
      <c r="H499" s="18"/>
      <c r="I499" s="18"/>
      <c r="J499" s="18"/>
      <c r="K499" s="53">
        <f t="shared" si="35"/>
        <v>1787745.24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5687745.2400000002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5687745.2400000002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355000</v>
      </c>
      <c r="G501" s="204"/>
      <c r="H501" s="204"/>
      <c r="I501" s="204"/>
      <c r="J501" s="204"/>
      <c r="K501" s="205">
        <f t="shared" si="35"/>
        <v>355000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176082.76</v>
      </c>
      <c r="G502" s="18"/>
      <c r="H502" s="18"/>
      <c r="I502" s="18"/>
      <c r="J502" s="18"/>
      <c r="K502" s="53">
        <f t="shared" si="35"/>
        <v>176082.76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531082.76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531082.76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339642.01</v>
      </c>
      <c r="G521" s="18">
        <v>264953.88</v>
      </c>
      <c r="H521" s="18">
        <v>5356.59</v>
      </c>
      <c r="I521" s="18">
        <v>1676.13</v>
      </c>
      <c r="J521" s="18">
        <v>5295.77</v>
      </c>
      <c r="K521" s="18">
        <v>530</v>
      </c>
      <c r="L521" s="88">
        <f>SUM(F521:K521)</f>
        <v>617454.38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136757.88</v>
      </c>
      <c r="I522" s="18"/>
      <c r="J522" s="18"/>
      <c r="K522" s="18"/>
      <c r="L522" s="88">
        <f>SUM(F522:K522)</f>
        <v>136757.88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87353.7</v>
      </c>
      <c r="I523" s="18"/>
      <c r="J523" s="18"/>
      <c r="K523" s="18"/>
      <c r="L523" s="88">
        <f>SUM(F523:K523)</f>
        <v>87353.7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339642.01</v>
      </c>
      <c r="G524" s="108">
        <f t="shared" ref="G524:L524" si="36">SUM(G521:G523)</f>
        <v>264953.88</v>
      </c>
      <c r="H524" s="108">
        <f t="shared" si="36"/>
        <v>229468.16999999998</v>
      </c>
      <c r="I524" s="108">
        <f t="shared" si="36"/>
        <v>1676.13</v>
      </c>
      <c r="J524" s="108">
        <f t="shared" si="36"/>
        <v>5295.77</v>
      </c>
      <c r="K524" s="108">
        <f t="shared" si="36"/>
        <v>530</v>
      </c>
      <c r="L524" s="89">
        <f t="shared" si="36"/>
        <v>841565.96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75211.48</v>
      </c>
      <c r="G526" s="18">
        <v>18520.37</v>
      </c>
      <c r="H526" s="18">
        <v>395918.37</v>
      </c>
      <c r="I526" s="18"/>
      <c r="J526" s="18"/>
      <c r="K526" s="18"/>
      <c r="L526" s="88">
        <f>SUM(F526:K526)</f>
        <v>489650.22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75211.48</v>
      </c>
      <c r="G529" s="89">
        <f t="shared" ref="G529:L529" si="37">SUM(G526:G528)</f>
        <v>18520.37</v>
      </c>
      <c r="H529" s="89">
        <f t="shared" si="37"/>
        <v>395918.37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489650.22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49334.27</v>
      </c>
      <c r="G531" s="18">
        <v>3774.07</v>
      </c>
      <c r="H531" s="18"/>
      <c r="I531" s="18"/>
      <c r="J531" s="18"/>
      <c r="K531" s="18"/>
      <c r="L531" s="88">
        <f>SUM(F531:K531)</f>
        <v>53108.34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49334.27</v>
      </c>
      <c r="G534" s="89">
        <f t="shared" ref="G534:L534" si="38">SUM(G531:G533)</f>
        <v>3774.07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53108.34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43475.89</v>
      </c>
      <c r="I541" s="18"/>
      <c r="J541" s="18"/>
      <c r="K541" s="18"/>
      <c r="L541" s="88">
        <f>SUM(F541:K541)</f>
        <v>43475.89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43475.89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43475.89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464187.76</v>
      </c>
      <c r="G545" s="89">
        <f t="shared" ref="G545:L545" si="41">G524+G529+G534+G539+G544</f>
        <v>287248.32</v>
      </c>
      <c r="H545" s="89">
        <f t="shared" si="41"/>
        <v>668862.43000000005</v>
      </c>
      <c r="I545" s="89">
        <f t="shared" si="41"/>
        <v>1676.13</v>
      </c>
      <c r="J545" s="89">
        <f t="shared" si="41"/>
        <v>5295.77</v>
      </c>
      <c r="K545" s="89">
        <f t="shared" si="41"/>
        <v>530</v>
      </c>
      <c r="L545" s="89">
        <f t="shared" si="41"/>
        <v>1427800.41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617454.38</v>
      </c>
      <c r="G549" s="87">
        <f>L526</f>
        <v>489650.22</v>
      </c>
      <c r="H549" s="87">
        <f>L531</f>
        <v>53108.34</v>
      </c>
      <c r="I549" s="87">
        <f>L536</f>
        <v>0</v>
      </c>
      <c r="J549" s="87">
        <f>L541</f>
        <v>43475.89</v>
      </c>
      <c r="K549" s="87">
        <f>SUM(F549:J549)</f>
        <v>1203688.83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136757.88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136757.88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87353.7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87353.7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841565.96</v>
      </c>
      <c r="G552" s="89">
        <f t="shared" si="42"/>
        <v>489650.22</v>
      </c>
      <c r="H552" s="89">
        <f t="shared" si="42"/>
        <v>53108.34</v>
      </c>
      <c r="I552" s="89">
        <f t="shared" si="42"/>
        <v>0</v>
      </c>
      <c r="J552" s="89">
        <f t="shared" si="42"/>
        <v>43475.89</v>
      </c>
      <c r="K552" s="89">
        <f t="shared" si="42"/>
        <v>1427800.41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995993.4</v>
      </c>
      <c r="H575" s="18">
        <v>1677640.2</v>
      </c>
      <c r="I575" s="87">
        <f>SUM(F575:H575)</f>
        <v>2673633.6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68675.8</v>
      </c>
      <c r="G582" s="18">
        <v>158081.48000000001</v>
      </c>
      <c r="H582" s="18">
        <v>169161.1</v>
      </c>
      <c r="I582" s="87">
        <f t="shared" si="47"/>
        <v>395918.38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98527.52</v>
      </c>
      <c r="I591" s="18">
        <v>34104.959999999999</v>
      </c>
      <c r="J591" s="18">
        <v>61106.01</v>
      </c>
      <c r="K591" s="104">
        <f t="shared" ref="K591:K597" si="48">SUM(H591:J591)</f>
        <v>193738.49000000002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43475.89</v>
      </c>
      <c r="I592" s="18"/>
      <c r="J592" s="18"/>
      <c r="K592" s="104">
        <f t="shared" si="48"/>
        <v>43475.89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7863.94</v>
      </c>
      <c r="I595" s="18"/>
      <c r="J595" s="18"/>
      <c r="K595" s="104">
        <f t="shared" si="48"/>
        <v>7863.94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149867.35</v>
      </c>
      <c r="I598" s="108">
        <f>SUM(I591:I597)</f>
        <v>34104.959999999999</v>
      </c>
      <c r="J598" s="108">
        <f>SUM(J591:J597)</f>
        <v>61106.01</v>
      </c>
      <c r="K598" s="108">
        <f>SUM(K591:K597)</f>
        <v>245078.32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92540.55</v>
      </c>
      <c r="I604" s="18"/>
      <c r="J604" s="18"/>
      <c r="K604" s="104">
        <f>SUM(H604:J604)</f>
        <v>92540.55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92540.55</v>
      </c>
      <c r="I605" s="108">
        <f>SUM(I602:I604)</f>
        <v>0</v>
      </c>
      <c r="J605" s="108">
        <f>SUM(J602:J604)</f>
        <v>0</v>
      </c>
      <c r="K605" s="108">
        <f>SUM(K602:K604)</f>
        <v>92540.55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43730.77</v>
      </c>
      <c r="G611" s="18">
        <v>7076.42</v>
      </c>
      <c r="H611" s="18"/>
      <c r="I611" s="18">
        <v>2079.67</v>
      </c>
      <c r="J611" s="18">
        <v>570.82000000000005</v>
      </c>
      <c r="K611" s="18"/>
      <c r="L611" s="88">
        <f>SUM(F611:K611)</f>
        <v>53457.679999999993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43730.77</v>
      </c>
      <c r="G614" s="108">
        <f t="shared" si="49"/>
        <v>7076.42</v>
      </c>
      <c r="H614" s="108">
        <f t="shared" si="49"/>
        <v>0</v>
      </c>
      <c r="I614" s="108">
        <f t="shared" si="49"/>
        <v>2079.67</v>
      </c>
      <c r="J614" s="108">
        <f t="shared" si="49"/>
        <v>570.82000000000005</v>
      </c>
      <c r="K614" s="108">
        <f t="shared" si="49"/>
        <v>0</v>
      </c>
      <c r="L614" s="89">
        <f t="shared" si="49"/>
        <v>53457.679999999993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374721.38</v>
      </c>
      <c r="H617" s="109">
        <f>SUM(F52)</f>
        <v>374721.38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12834.7</v>
      </c>
      <c r="H618" s="109">
        <f>SUM(G52)</f>
        <v>12834.7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12522.189999999999</v>
      </c>
      <c r="H619" s="109">
        <f>SUM(H52)</f>
        <v>12522.19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661856.37</v>
      </c>
      <c r="H621" s="109">
        <f>SUM(J52)</f>
        <v>661856.37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90049.98000000001</v>
      </c>
      <c r="H622" s="109">
        <f>F476</f>
        <v>90049.980000000447</v>
      </c>
      <c r="I622" s="121" t="s">
        <v>101</v>
      </c>
      <c r="J622" s="109">
        <f t="shared" ref="J622:J655" si="50">G622-H622</f>
        <v>-4.3655745685100555E-10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11417.35</v>
      </c>
      <c r="H623" s="109">
        <f>G476</f>
        <v>11417.349999999991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12522.19</v>
      </c>
      <c r="H624" s="109">
        <f>H476</f>
        <v>12522.190000000002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661856.37</v>
      </c>
      <c r="H626" s="109">
        <f>J476</f>
        <v>661856.37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8201215.3799999999</v>
      </c>
      <c r="H627" s="104">
        <f>SUM(F468)</f>
        <v>8201215.3799999999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80970.720000000001</v>
      </c>
      <c r="H628" s="104">
        <f>SUM(G468)</f>
        <v>80970.720000000001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161542.19</v>
      </c>
      <c r="H629" s="104">
        <f>SUM(H468)</f>
        <v>161542.19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106436.42</v>
      </c>
      <c r="H631" s="104">
        <f>SUM(J468)</f>
        <v>106436.42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8836649.6600000001</v>
      </c>
      <c r="H632" s="104">
        <f>SUM(F472)</f>
        <v>8836649.6600000001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158772.43</v>
      </c>
      <c r="H633" s="104">
        <f>SUM(H472)</f>
        <v>158772.43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26530.68</v>
      </c>
      <c r="H634" s="104">
        <f>I369</f>
        <v>26530.68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95639.63</v>
      </c>
      <c r="H635" s="104">
        <f>SUM(G472)</f>
        <v>95639.63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106436.42</v>
      </c>
      <c r="H637" s="164">
        <f>SUM(J468)</f>
        <v>106436.42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14608.29</v>
      </c>
      <c r="H638" s="164">
        <f>SUM(J472)</f>
        <v>14608.29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76517.64</v>
      </c>
      <c r="H639" s="104">
        <f>SUM(F461)</f>
        <v>76517.64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585338.73</v>
      </c>
      <c r="H640" s="104">
        <f>SUM(G461)</f>
        <v>585338.73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661856.37</v>
      </c>
      <c r="H642" s="104">
        <f>SUM(I461)</f>
        <v>661856.37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6436.42</v>
      </c>
      <c r="H644" s="104">
        <f>H408</f>
        <v>6436.42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100000</v>
      </c>
      <c r="H645" s="104">
        <f>G408</f>
        <v>100000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106436.42</v>
      </c>
      <c r="H646" s="104">
        <f>L408</f>
        <v>106436.42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245078.32</v>
      </c>
      <c r="H647" s="104">
        <f>L208+L226+L244</f>
        <v>245078.32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92540.55</v>
      </c>
      <c r="H648" s="104">
        <f>(J257+J338)-(J255+J336)</f>
        <v>92540.55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149867.35</v>
      </c>
      <c r="H649" s="104">
        <f>H598</f>
        <v>149867.35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34104.959999999999</v>
      </c>
      <c r="H650" s="104">
        <f>I598</f>
        <v>34104.959999999999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61106.01</v>
      </c>
      <c r="H651" s="104">
        <f>J598</f>
        <v>61106.01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10000</v>
      </c>
      <c r="H652" s="104">
        <f>K263+K345</f>
        <v>10000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100000</v>
      </c>
      <c r="H655" s="104">
        <f>K266+K347</f>
        <v>100000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5221190.88</v>
      </c>
      <c r="G660" s="19">
        <f>(L229+L309+L359)</f>
        <v>1188179.8399999999</v>
      </c>
      <c r="H660" s="19">
        <f>(L247+L328+L360)</f>
        <v>1907907.31</v>
      </c>
      <c r="I660" s="19">
        <f>SUM(F660:H660)</f>
        <v>8317278.0299999993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52701.74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52701.74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149867.35</v>
      </c>
      <c r="G662" s="19">
        <f>(L226+L306)-(J226+J306)</f>
        <v>34104.959999999999</v>
      </c>
      <c r="H662" s="19">
        <f>(L244+L325)-(J244+J325)</f>
        <v>61106.01</v>
      </c>
      <c r="I662" s="19">
        <f>SUM(F662:H662)</f>
        <v>245078.32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214674.03</v>
      </c>
      <c r="G663" s="199">
        <f>SUM(G575:G587)+SUM(I602:I604)+L612</f>
        <v>1154074.8800000001</v>
      </c>
      <c r="H663" s="199">
        <f>SUM(H575:H587)+SUM(J602:J604)+L613</f>
        <v>1846801.3</v>
      </c>
      <c r="I663" s="19">
        <f>SUM(F663:H663)</f>
        <v>3215550.21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4803947.76</v>
      </c>
      <c r="G664" s="19">
        <f>G660-SUM(G661:G663)</f>
        <v>0</v>
      </c>
      <c r="H664" s="19">
        <f>H660-SUM(H661:H663)</f>
        <v>0</v>
      </c>
      <c r="I664" s="19">
        <f>I660-SUM(I661:I663)</f>
        <v>4803947.76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204.66</v>
      </c>
      <c r="G665" s="248"/>
      <c r="H665" s="248"/>
      <c r="I665" s="19">
        <f>SUM(F665:H665)</f>
        <v>204.66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23472.82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23472.82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23472.82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23472.82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B29" sqref="B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Grantham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1196560.5</v>
      </c>
      <c r="C9" s="229">
        <f>'DOE25'!G197+'DOE25'!G215+'DOE25'!G233+'DOE25'!G276+'DOE25'!G295+'DOE25'!G314</f>
        <v>606254.11</v>
      </c>
    </row>
    <row r="10" spans="1:3" x14ac:dyDescent="0.2">
      <c r="A10" t="s">
        <v>773</v>
      </c>
      <c r="B10" s="240">
        <v>1149244.8700000001</v>
      </c>
      <c r="C10" s="240">
        <v>602634.67000000004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v>47315.63</v>
      </c>
      <c r="C12" s="240">
        <v>3619.44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1196560.5</v>
      </c>
      <c r="C13" s="231">
        <f>SUM(C10:C12)</f>
        <v>606254.11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422431.32</v>
      </c>
      <c r="C18" s="229">
        <f>'DOE25'!G198+'DOE25'!G216+'DOE25'!G234+'DOE25'!G277+'DOE25'!G296+'DOE25'!G315</f>
        <v>299447.48</v>
      </c>
    </row>
    <row r="19" spans="1:3" x14ac:dyDescent="0.2">
      <c r="A19" t="s">
        <v>773</v>
      </c>
      <c r="B19" s="240">
        <v>134768.32000000001</v>
      </c>
      <c r="C19" s="240">
        <v>277441.26</v>
      </c>
    </row>
    <row r="20" spans="1:3" x14ac:dyDescent="0.2">
      <c r="A20" t="s">
        <v>774</v>
      </c>
      <c r="B20" s="240">
        <v>223229.15</v>
      </c>
      <c r="C20" s="240">
        <v>17077.03</v>
      </c>
    </row>
    <row r="21" spans="1:3" x14ac:dyDescent="0.2">
      <c r="A21" t="s">
        <v>775</v>
      </c>
      <c r="B21" s="240">
        <v>64433.85</v>
      </c>
      <c r="C21" s="240">
        <v>4929.1899999999996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422431.31999999995</v>
      </c>
      <c r="C22" s="231">
        <f>SUM(C19:C21)</f>
        <v>299447.48000000004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Grantham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6092249.0999999996</v>
      </c>
      <c r="D5" s="20">
        <f>SUM('DOE25'!L197:L200)+SUM('DOE25'!L215:L218)+SUM('DOE25'!L233:L236)-F5-G5</f>
        <v>6080693.2699999996</v>
      </c>
      <c r="E5" s="243"/>
      <c r="F5" s="255">
        <f>SUM('DOE25'!J197:J200)+SUM('DOE25'!J215:J218)+SUM('DOE25'!J233:J236)</f>
        <v>11025.830000000002</v>
      </c>
      <c r="G5" s="53">
        <f>SUM('DOE25'!K197:K200)+SUM('DOE25'!K215:K218)+SUM('DOE25'!K233:K236)</f>
        <v>530</v>
      </c>
      <c r="H5" s="259"/>
    </row>
    <row r="6" spans="1:9" x14ac:dyDescent="0.2">
      <c r="A6" s="32">
        <v>2100</v>
      </c>
      <c r="B6" t="s">
        <v>795</v>
      </c>
      <c r="C6" s="245">
        <f t="shared" si="0"/>
        <v>377856.53</v>
      </c>
      <c r="D6" s="20">
        <f>'DOE25'!L202+'DOE25'!L220+'DOE25'!L238-F6-G6</f>
        <v>377706.53</v>
      </c>
      <c r="E6" s="243"/>
      <c r="F6" s="255">
        <f>'DOE25'!J202+'DOE25'!J220+'DOE25'!J238</f>
        <v>0</v>
      </c>
      <c r="G6" s="53">
        <f>'DOE25'!K202+'DOE25'!K220+'DOE25'!K238</f>
        <v>150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220750.37000000002</v>
      </c>
      <c r="D7" s="20">
        <f>'DOE25'!L203+'DOE25'!L221+'DOE25'!L239-F7-G7</f>
        <v>197884.7</v>
      </c>
      <c r="E7" s="243"/>
      <c r="F7" s="255">
        <f>'DOE25'!J203+'DOE25'!J221+'DOE25'!J239</f>
        <v>12865.67</v>
      </c>
      <c r="G7" s="53">
        <f>'DOE25'!K203+'DOE25'!K221+'DOE25'!K239</f>
        <v>10000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243836.91999999998</v>
      </c>
      <c r="D8" s="243"/>
      <c r="E8" s="20">
        <f>'DOE25'!L204+'DOE25'!L222+'DOE25'!L240-F8-G8-D9-D11</f>
        <v>239121.91999999998</v>
      </c>
      <c r="F8" s="255">
        <f>'DOE25'!J204+'DOE25'!J222+'DOE25'!J240</f>
        <v>0</v>
      </c>
      <c r="G8" s="53">
        <f>'DOE25'!K204+'DOE25'!K222+'DOE25'!K240</f>
        <v>4715</v>
      </c>
      <c r="H8" s="259"/>
    </row>
    <row r="9" spans="1:9" x14ac:dyDescent="0.2">
      <c r="A9" s="32">
        <v>2310</v>
      </c>
      <c r="B9" t="s">
        <v>812</v>
      </c>
      <c r="C9" s="245">
        <f t="shared" si="0"/>
        <v>36227.96</v>
      </c>
      <c r="D9" s="244">
        <v>36227.96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11800</v>
      </c>
      <c r="D10" s="243"/>
      <c r="E10" s="244">
        <v>11800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110246</v>
      </c>
      <c r="D11" s="244">
        <v>110246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284273.79000000004</v>
      </c>
      <c r="D12" s="20">
        <f>'DOE25'!L205+'DOE25'!L223+'DOE25'!L241-F12-G12</f>
        <v>283493.79000000004</v>
      </c>
      <c r="E12" s="243"/>
      <c r="F12" s="255">
        <f>'DOE25'!J205+'DOE25'!J223+'DOE25'!J241</f>
        <v>0</v>
      </c>
      <c r="G12" s="53">
        <f>'DOE25'!K205+'DOE25'!K223+'DOE25'!K241</f>
        <v>780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517297.91</v>
      </c>
      <c r="D14" s="20">
        <f>'DOE25'!L207+'DOE25'!L225+'DOE25'!L243-F14-G14</f>
        <v>478045.43</v>
      </c>
      <c r="E14" s="243"/>
      <c r="F14" s="255">
        <f>'DOE25'!J207+'DOE25'!J225+'DOE25'!J243</f>
        <v>39252.480000000003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245078.32</v>
      </c>
      <c r="D15" s="20">
        <f>'DOE25'!L208+'DOE25'!L226+'DOE25'!L244-F15-G15</f>
        <v>245078.32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548832.76</v>
      </c>
      <c r="D25" s="243"/>
      <c r="E25" s="243"/>
      <c r="F25" s="258"/>
      <c r="G25" s="256"/>
      <c r="H25" s="257">
        <f>'DOE25'!L260+'DOE25'!L261+'DOE25'!L341+'DOE25'!L342</f>
        <v>548832.76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69108.950000000012</v>
      </c>
      <c r="D29" s="20">
        <f>'DOE25'!L358+'DOE25'!L359+'DOE25'!L360-'DOE25'!I367-F29-G29</f>
        <v>68755.950000000012</v>
      </c>
      <c r="E29" s="243"/>
      <c r="F29" s="255">
        <f>'DOE25'!J358+'DOE25'!J359+'DOE25'!J360</f>
        <v>353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93821.5</v>
      </c>
      <c r="D31" s="20">
        <f>'DOE25'!L290+'DOE25'!L309+'DOE25'!L328+'DOE25'!L333+'DOE25'!L334+'DOE25'!L335-F31-G31</f>
        <v>64995.75</v>
      </c>
      <c r="E31" s="243"/>
      <c r="F31" s="255">
        <f>'DOE25'!J290+'DOE25'!J309+'DOE25'!J328+'DOE25'!J333+'DOE25'!J334+'DOE25'!J335</f>
        <v>28825.75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7943127.7000000002</v>
      </c>
      <c r="E33" s="246">
        <f>SUM(E5:E31)</f>
        <v>250921.91999999998</v>
      </c>
      <c r="F33" s="246">
        <f>SUM(F5:F31)</f>
        <v>92322.73000000001</v>
      </c>
      <c r="G33" s="246">
        <f>SUM(G5:G31)</f>
        <v>16175</v>
      </c>
      <c r="H33" s="246">
        <f>SUM(H5:H31)</f>
        <v>548832.76</v>
      </c>
    </row>
    <row r="35" spans="2:8" ht="12" thickBot="1" x14ac:dyDescent="0.25">
      <c r="B35" s="253" t="s">
        <v>841</v>
      </c>
      <c r="D35" s="254">
        <f>E33</f>
        <v>250921.91999999998</v>
      </c>
      <c r="E35" s="249"/>
    </row>
    <row r="36" spans="2:8" ht="12" thickTop="1" x14ac:dyDescent="0.2">
      <c r="B36" t="s">
        <v>809</v>
      </c>
      <c r="D36" s="20">
        <f>D33</f>
        <v>7943127.7000000002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21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Grantham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371143.32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661856.37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2.17</v>
      </c>
      <c r="D9" s="95">
        <f>'DOE25'!G10</f>
        <v>0</v>
      </c>
      <c r="E9" s="95">
        <f>'DOE25'!H10</f>
        <v>0.31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75.89</v>
      </c>
      <c r="D11" s="95">
        <f>'DOE25'!G12</f>
        <v>10000</v>
      </c>
      <c r="E11" s="95">
        <f>'DOE25'!H12</f>
        <v>12521.88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3500</v>
      </c>
      <c r="D12" s="95">
        <f>'DOE25'!G13</f>
        <v>2834.7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374721.38</v>
      </c>
      <c r="D18" s="41">
        <f>SUM(D8:D17)</f>
        <v>12834.7</v>
      </c>
      <c r="E18" s="41">
        <f>SUM(E8:E17)</f>
        <v>12522.189999999999</v>
      </c>
      <c r="F18" s="41">
        <f>SUM(F8:F17)</f>
        <v>0</v>
      </c>
      <c r="G18" s="41">
        <f>SUM(G8:G17)</f>
        <v>661856.37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100000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4018.85</v>
      </c>
      <c r="D23" s="95">
        <f>'DOE25'!G24</f>
        <v>1377.66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31203.95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50238.33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-789.73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100000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39.69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284671.40000000002</v>
      </c>
      <c r="D31" s="41">
        <f>SUM(D21:D30)</f>
        <v>1417.3500000000001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50000</v>
      </c>
      <c r="D47" s="95">
        <f>'DOE25'!G48</f>
        <v>10000</v>
      </c>
      <c r="E47" s="95">
        <f>'DOE25'!H48</f>
        <v>0</v>
      </c>
      <c r="F47" s="95">
        <f>'DOE25'!I48</f>
        <v>0</v>
      </c>
      <c r="G47" s="95">
        <f>'DOE25'!J48</f>
        <v>661856.37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1417.35</v>
      </c>
      <c r="E48" s="95">
        <f>'DOE25'!H49</f>
        <v>12522.19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40049.980000000003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90049.98000000001</v>
      </c>
      <c r="D50" s="41">
        <f>SUM(D34:D49)</f>
        <v>11417.35</v>
      </c>
      <c r="E50" s="41">
        <f>SUM(E34:E49)</f>
        <v>12522.19</v>
      </c>
      <c r="F50" s="41">
        <f>SUM(F34:F49)</f>
        <v>0</v>
      </c>
      <c r="G50" s="41">
        <f>SUM(G34:G49)</f>
        <v>661856.37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374721.38</v>
      </c>
      <c r="D51" s="41">
        <f>D50+D31</f>
        <v>12834.7</v>
      </c>
      <c r="E51" s="41">
        <f>E50+E31</f>
        <v>12522.19</v>
      </c>
      <c r="F51" s="41">
        <f>F50+F31</f>
        <v>0</v>
      </c>
      <c r="G51" s="41">
        <f>G50+G31</f>
        <v>661856.37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6375166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44833.599999999999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21752.02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6436.42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52701.74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3177.03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24929.05</v>
      </c>
      <c r="D62" s="130">
        <f>SUM(D57:D61)</f>
        <v>52701.74</v>
      </c>
      <c r="E62" s="130">
        <f>SUM(E57:E61)</f>
        <v>44833.599999999999</v>
      </c>
      <c r="F62" s="130">
        <f>SUM(F57:F61)</f>
        <v>0</v>
      </c>
      <c r="G62" s="130">
        <f>SUM(G57:G61)</f>
        <v>6436.42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6400095.0499999998</v>
      </c>
      <c r="D63" s="22">
        <f>D56+D62</f>
        <v>52701.74</v>
      </c>
      <c r="E63" s="22">
        <f>E56+E62</f>
        <v>44833.599999999999</v>
      </c>
      <c r="F63" s="22">
        <f>F56+F62</f>
        <v>0</v>
      </c>
      <c r="G63" s="22">
        <f>G56+G62</f>
        <v>6436.42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520401.04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1075244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1393.54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1597038.58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107513.07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40312.14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700.33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147825.21000000002</v>
      </c>
      <c r="D78" s="130">
        <f>SUM(D72:D77)</f>
        <v>700.33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1744863.79</v>
      </c>
      <c r="D81" s="130">
        <f>SUM(D79:D80)+D78+D70</f>
        <v>700.33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42183.37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29687.54</v>
      </c>
      <c r="D88" s="95">
        <f>SUM('DOE25'!G153:G161)</f>
        <v>17568.650000000001</v>
      </c>
      <c r="E88" s="95">
        <f>SUM('DOE25'!H153:H161)</f>
        <v>74525.22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29687.54</v>
      </c>
      <c r="D91" s="131">
        <f>SUM(D85:D90)</f>
        <v>17568.650000000001</v>
      </c>
      <c r="E91" s="131">
        <f>SUM(E85:E90)</f>
        <v>116708.59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10000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26569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26569</v>
      </c>
      <c r="D103" s="86">
        <f>SUM(D93:D102)</f>
        <v>10000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759</v>
      </c>
      <c r="C104" s="86">
        <f>C63+C81+C91+C103</f>
        <v>8201215.3799999999</v>
      </c>
      <c r="D104" s="86">
        <f>D63+D81+D91+D103</f>
        <v>80970.720000000001</v>
      </c>
      <c r="E104" s="86">
        <f>E63+E81+E91+E103</f>
        <v>161542.19</v>
      </c>
      <c r="F104" s="86">
        <f>F63+F81+F91+F103</f>
        <v>0</v>
      </c>
      <c r="G104" s="86">
        <f>G63+G81+G103</f>
        <v>106436.42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4687123.67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1385904.8</v>
      </c>
      <c r="D110" s="24" t="s">
        <v>286</v>
      </c>
      <c r="E110" s="95">
        <f>('DOE25'!L277)+('DOE25'!L296)+('DOE25'!L315)</f>
        <v>93280.1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19220.63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64950.93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6092249.0999999996</v>
      </c>
      <c r="D115" s="86">
        <f>SUM(D109:D114)</f>
        <v>0</v>
      </c>
      <c r="E115" s="86">
        <f>SUM(E109:E114)</f>
        <v>158231.03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377856.53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220750.37000000002</v>
      </c>
      <c r="D119" s="24" t="s">
        <v>286</v>
      </c>
      <c r="E119" s="95">
        <f>+('DOE25'!L282)+('DOE25'!L301)+('DOE25'!L320)</f>
        <v>541.4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390310.88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284273.79000000004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517297.91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245078.32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95639.63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2035567.8</v>
      </c>
      <c r="D128" s="86">
        <f>SUM(D118:D127)</f>
        <v>95639.63</v>
      </c>
      <c r="E128" s="86">
        <f>SUM(E118:E127)</f>
        <v>541.4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355000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193832.76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1116.21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105320.20999999999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-6436.4199999999983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50000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708832.75999999989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8836649.6600000001</v>
      </c>
      <c r="D145" s="86">
        <f>(D115+D128+D144)</f>
        <v>95639.63</v>
      </c>
      <c r="E145" s="86">
        <f>(E115+E128+E144)</f>
        <v>158772.43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12/08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1/29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7150000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4255000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4255000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355000</v>
      </c>
    </row>
    <row r="159" spans="1:9" x14ac:dyDescent="0.2">
      <c r="A159" s="22" t="s">
        <v>35</v>
      </c>
      <c r="B159" s="137">
        <f>'DOE25'!F498</f>
        <v>3900000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3900000</v>
      </c>
    </row>
    <row r="160" spans="1:9" x14ac:dyDescent="0.2">
      <c r="A160" s="22" t="s">
        <v>36</v>
      </c>
      <c r="B160" s="137">
        <f>'DOE25'!F499</f>
        <v>1787745.24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1787745.24</v>
      </c>
    </row>
    <row r="161" spans="1:7" x14ac:dyDescent="0.2">
      <c r="A161" s="22" t="s">
        <v>37</v>
      </c>
      <c r="B161" s="137">
        <f>'DOE25'!F500</f>
        <v>5687745.2400000002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5687745.2400000002</v>
      </c>
    </row>
    <row r="162" spans="1:7" x14ac:dyDescent="0.2">
      <c r="A162" s="22" t="s">
        <v>38</v>
      </c>
      <c r="B162" s="137">
        <f>'DOE25'!F501</f>
        <v>355000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355000</v>
      </c>
    </row>
    <row r="163" spans="1:7" x14ac:dyDescent="0.2">
      <c r="A163" s="22" t="s">
        <v>39</v>
      </c>
      <c r="B163" s="137">
        <f>'DOE25'!F502</f>
        <v>176082.76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176082.76</v>
      </c>
    </row>
    <row r="164" spans="1:7" x14ac:dyDescent="0.2">
      <c r="A164" s="22" t="s">
        <v>246</v>
      </c>
      <c r="B164" s="137">
        <f>'DOE25'!F503</f>
        <v>531082.76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531082.76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1" workbookViewId="0">
      <selection activeCell="C39" sqref="C3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Grantham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23473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23473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4687124</v>
      </c>
      <c r="D10" s="182">
        <f>ROUND((C10/$C$28)*100,1)</f>
        <v>54.7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1479185</v>
      </c>
      <c r="D11" s="182">
        <f>ROUND((C11/$C$28)*100,1)</f>
        <v>17.3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19221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377857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221292</v>
      </c>
      <c r="D16" s="182">
        <f t="shared" si="0"/>
        <v>2.6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390311</v>
      </c>
      <c r="D17" s="182">
        <f t="shared" si="0"/>
        <v>4.5999999999999996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284274</v>
      </c>
      <c r="D18" s="182">
        <f t="shared" si="0"/>
        <v>3.3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517298</v>
      </c>
      <c r="D20" s="182">
        <f t="shared" si="0"/>
        <v>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245078</v>
      </c>
      <c r="D21" s="182">
        <f t="shared" si="0"/>
        <v>2.9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64951</v>
      </c>
      <c r="D23" s="182">
        <f t="shared" si="0"/>
        <v>0.8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193833</v>
      </c>
      <c r="D25" s="182">
        <f t="shared" si="0"/>
        <v>2.2999999999999998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50000</v>
      </c>
      <c r="D26" s="182">
        <f t="shared" si="0"/>
        <v>0.6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42938.26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8573362.2599999998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8573362.2599999998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355000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6375166</v>
      </c>
      <c r="D35" s="182">
        <f t="shared" ref="D35:D40" si="1">ROUND((C35/$C$41)*100,1)</f>
        <v>76.2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76199.069999999367</v>
      </c>
      <c r="D36" s="182">
        <f t="shared" si="1"/>
        <v>0.9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1595645</v>
      </c>
      <c r="D37" s="182">
        <f t="shared" si="1"/>
        <v>19.100000000000001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149919</v>
      </c>
      <c r="D38" s="182">
        <f t="shared" si="1"/>
        <v>1.8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163965</v>
      </c>
      <c r="D39" s="182">
        <f t="shared" si="1"/>
        <v>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8360894.0699999994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Grantham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2018-11-21T18:57:01Z</cp:lastPrinted>
  <dcterms:created xsi:type="dcterms:W3CDTF">1997-12-04T19:04:30Z</dcterms:created>
  <dcterms:modified xsi:type="dcterms:W3CDTF">2018-12-10T17:45:14Z</dcterms:modified>
</cp:coreProperties>
</file>