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5255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211" i="1" s="1"/>
  <c r="L198" i="1"/>
  <c r="C11" i="10" s="1"/>
  <c r="L199" i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6" i="10" s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G661" i="1" s="1"/>
  <c r="I661" i="1" s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C10" i="10"/>
  <c r="C13" i="10"/>
  <c r="C15" i="10"/>
  <c r="C18" i="10"/>
  <c r="C19" i="10"/>
  <c r="L250" i="1"/>
  <c r="L332" i="1"/>
  <c r="L254" i="1"/>
  <c r="L268" i="1"/>
  <c r="L269" i="1"/>
  <c r="L349" i="1"/>
  <c r="L350" i="1"/>
  <c r="I665" i="1"/>
  <c r="I670" i="1"/>
  <c r="L247" i="1"/>
  <c r="F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19" i="1"/>
  <c r="H19" i="1"/>
  <c r="G619" i="1" s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G257" i="1" s="1"/>
  <c r="G271" i="1" s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L257" i="1" s="1"/>
  <c r="L271" i="1" s="1"/>
  <c r="G632" i="1" s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H640" i="1"/>
  <c r="G641" i="1"/>
  <c r="G642" i="1"/>
  <c r="H642" i="1"/>
  <c r="G643" i="1"/>
  <c r="J643" i="1" s="1"/>
  <c r="H643" i="1"/>
  <c r="G644" i="1"/>
  <c r="H644" i="1"/>
  <c r="G645" i="1"/>
  <c r="J645" i="1" s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K257" i="1"/>
  <c r="K271" i="1" s="1"/>
  <c r="I257" i="1"/>
  <c r="I271" i="1" s="1"/>
  <c r="C18" i="2"/>
  <c r="C26" i="10"/>
  <c r="L328" i="1"/>
  <c r="H660" i="1" s="1"/>
  <c r="L351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F78" i="2"/>
  <c r="F81" i="2" s="1"/>
  <c r="D31" i="2"/>
  <c r="C128" i="2"/>
  <c r="D50" i="2"/>
  <c r="G157" i="2"/>
  <c r="F18" i="2"/>
  <c r="G161" i="2"/>
  <c r="G156" i="2"/>
  <c r="E115" i="2"/>
  <c r="E103" i="2"/>
  <c r="D91" i="2"/>
  <c r="E62" i="2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F112" i="1"/>
  <c r="K605" i="1"/>
  <c r="G648" i="1" s="1"/>
  <c r="L433" i="1"/>
  <c r="L419" i="1"/>
  <c r="D81" i="2"/>
  <c r="I169" i="1"/>
  <c r="H169" i="1"/>
  <c r="G552" i="1"/>
  <c r="J644" i="1"/>
  <c r="J476" i="1"/>
  <c r="H626" i="1" s="1"/>
  <c r="H476" i="1"/>
  <c r="H624" i="1" s="1"/>
  <c r="F476" i="1"/>
  <c r="H622" i="1" s="1"/>
  <c r="I476" i="1"/>
  <c r="H625" i="1" s="1"/>
  <c r="J625" i="1" s="1"/>
  <c r="G476" i="1"/>
  <c r="H623" i="1" s="1"/>
  <c r="G338" i="1"/>
  <c r="G352" i="1" s="1"/>
  <c r="F169" i="1"/>
  <c r="J140" i="1"/>
  <c r="H257" i="1"/>
  <c r="H271" i="1" s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H571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J636" i="1"/>
  <c r="G36" i="2"/>
  <c r="L565" i="1"/>
  <c r="L545" i="1"/>
  <c r="H545" i="1"/>
  <c r="K551" i="1"/>
  <c r="C138" i="2"/>
  <c r="C16" i="13"/>
  <c r="H33" i="13"/>
  <c r="J622" i="1" l="1"/>
  <c r="L427" i="1"/>
  <c r="L434" i="1" s="1"/>
  <c r="G638" i="1" s="1"/>
  <c r="J638" i="1" s="1"/>
  <c r="J641" i="1"/>
  <c r="K552" i="1"/>
  <c r="E33" i="13"/>
  <c r="D35" i="13" s="1"/>
  <c r="E63" i="2"/>
  <c r="H664" i="1"/>
  <c r="H672" i="1" s="1"/>
  <c r="C6" i="10" s="1"/>
  <c r="G624" i="1"/>
  <c r="J624" i="1" s="1"/>
  <c r="K500" i="1"/>
  <c r="D145" i="2"/>
  <c r="C78" i="2"/>
  <c r="C81" i="2" s="1"/>
  <c r="E132" i="2"/>
  <c r="E144" i="2" s="1"/>
  <c r="E145" i="2" s="1"/>
  <c r="H662" i="1"/>
  <c r="I662" i="1" s="1"/>
  <c r="L362" i="1"/>
  <c r="F660" i="1"/>
  <c r="F664" i="1" s="1"/>
  <c r="J623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G50" i="2" s="1"/>
  <c r="G51" i="2" s="1"/>
  <c r="J51" i="1"/>
  <c r="G16" i="2"/>
  <c r="G18" i="2" s="1"/>
  <c r="J19" i="1"/>
  <c r="G621" i="1" s="1"/>
  <c r="F33" i="13"/>
  <c r="D31" i="13"/>
  <c r="C31" i="13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C104" i="2"/>
  <c r="J652" i="1"/>
  <c r="J642" i="1"/>
  <c r="G571" i="1"/>
  <c r="I434" i="1"/>
  <c r="G434" i="1"/>
  <c r="I663" i="1"/>
  <c r="C27" i="10"/>
  <c r="C28" i="10" s="1"/>
  <c r="G635" i="1"/>
  <c r="J635" i="1" s="1"/>
  <c r="F672" i="1" l="1"/>
  <c r="C4" i="10" s="1"/>
  <c r="F667" i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<sst xmlns="http://schemas.openxmlformats.org/spreadsheetml/2006/main" count="3957" uniqueCount="913">
  <si>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</si>
  <si>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</si>
  <si>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</si>
  <si>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</si>
  <si>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</si>
  <si>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</si>
  <si>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</si>
  <si>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</si>
  <si>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</si>
  <si>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</si>
  <si>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</si>
  <si>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</si>
  <si>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</si>
  <si>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</si>
  <si>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</si>
  <si>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</si>
  <si>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</si>
  <si>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</si>
  <si>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</si>
  <si>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</si>
  <si>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</si>
  <si>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</si>
  <si>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</si>
  <si>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</si>
  <si>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</si>
  <si>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</si>
  <si>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</si>
  <si>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</si>
  <si>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</si>
  <si>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</si>
  <si>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</si>
  <si>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</si>
  <si>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</si>
  <si>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</si>
  <si>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</si>
  <si>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</si>
  <si>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</si>
  <si>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</si>
  <si>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</si>
  <si>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</si>
  <si>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</si>
  <si>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</si>
  <si>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</si>
  <si>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</si>
  <si>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</si>
  <si>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</si>
  <si>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</si>
  <si>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</si>
  <si>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</si>
  <si>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</si>
  <si>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</si>
  <si>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</si>
  <si>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</si>
  <si>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</si>
  <si>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</si>
  <si>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</si>
  <si>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</si>
  <si>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</si>
  <si>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</si>
  <si>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</si>
  <si>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</si>
  <si>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</si>
  <si>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</si>
  <si>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</si>
  <si>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</si>
  <si>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</si>
  <si>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</si>
  <si>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</si>
  <si>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</si>
  <si>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</si>
  <si>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</si>
  <si>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</si>
  <si>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</si>
  <si>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</si>
  <si>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</si>
  <si>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</si>
  <si>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</si>
  <si>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</si>
  <si>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</si>
  <si>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</si>
  <si>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</si>
  <si>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</si>
  <si>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</si>
  <si>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</si>
  <si>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</si>
  <si>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</si>
  <si>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</si>
  <si>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</si>
  <si>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</si>
  <si>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</si>
  <si>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</si>
  <si>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</si>
  <si>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</si>
  <si>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</si>
  <si>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</si>
  <si>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</si>
  <si>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</si>
  <si>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</si>
  <si>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</si>
  <si>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</si>
  <si>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</si>
  <si>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</si>
  <si>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</si>
  <si>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</si>
  <si>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</si>
  <si>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</si>
  <si>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</si>
  <si>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</si>
  <si>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</si>
  <si>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</si>
  <si>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</si>
  <si>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</si>
  <si>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</si>
  <si>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</si>
  <si>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</si>
  <si>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</si>
  <si>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</si>
  <si>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</si>
  <si>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</si>
  <si>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</si>
  <si>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</si>
  <si>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</si>
  <si>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</si>
  <si>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</si>
  <si>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</si>
  <si>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</si>
  <si>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</si>
  <si>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</si>
  <si>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</si>
  <si>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</si>
  <si>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</si>
  <si>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</si>
  <si>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</si>
  <si>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</si>
  <si>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</si>
  <si>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</si>
  <si>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</si>
  <si>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</si>
  <si>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</si>
  <si>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</si>
  <si>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</si>
  <si>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</si>
  <si>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</si>
  <si>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</si>
  <si>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</si>
  <si>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</si>
  <si>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</si>
  <si>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</si>
  <si>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</si>
  <si>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</si>
  <si>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</si>
  <si>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</si>
  <si>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</si>
  <si>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</si>
  <si>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</si>
  <si>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</si>
  <si>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</si>
  <si>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</si>
  <si>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</si>
  <si>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</si>
  <si>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</si>
  <si>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</si>
  <si>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</si>
  <si>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</si>
  <si>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</si>
  <si>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</si>
  <si>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</si>
  <si>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</si>
  <si>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</si>
  <si>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</si>
  <si>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</si>
  <si>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</si>
  <si>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</si>
  <si>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</si>
  <si>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</si>
  <si>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</si>
  <si>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</si>
  <si>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</si>
  <si>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</si>
  <si>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</si>
  <si>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</si>
  <si>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</si>
  <si>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</si>
  <si>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</si>
  <si>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</si>
  <si>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</si>
  <si>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</si>
  <si>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</si>
  <si>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</si>
  <si>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</si>
  <si>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</si>
  <si>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</si>
  <si>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</si>
  <si>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</si>
  <si>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</si>
  <si>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</si>
  <si>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</si>
  <si>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</si>
  <si>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</si>
  <si>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</si>
  <si>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</si>
  <si>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</si>
  <si>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</si>
  <si>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</si>
  <si>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</si>
  <si>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</si>
  <si>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</si>
  <si>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</si>
  <si>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</si>
  <si>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</si>
  <si>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</si>
  <si>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</si>
  <si>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</si>
  <si>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</si>
  <si>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</si>
  <si>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</si>
  <si>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</si>
  <si>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</si>
  <si>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</si>
  <si>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</si>
  <si>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</si>
  <si>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</si>
  <si>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</si>
  <si>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</si>
  <si>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</si>
  <si>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</si>
  <si>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</si>
  <si>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</si>
  <si>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</si>
  <si>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</si>
  <si>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</si>
  <si>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</si>
  <si>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</si>
  <si>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</si>
  <si>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</si>
  <si>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</si>
  <si>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</si>
  <si>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</si>
  <si>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</si>
  <si>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</si>
  <si>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</si>
  <si>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</si>
  <si>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</si>
  <si>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</si>
  <si>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</si>
  <si>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</si>
  <si>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</si>
  <si>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</si>
  <si>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</si>
  <si>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</si>
  <si>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</si>
  <si>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</si>
  <si>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</si>
  <si>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</si>
  <si>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</si>
  <si>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</si>
  <si>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</si>
  <si>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</si>
  <si>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</si>
  <si>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</si>
  <si>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</si>
  <si>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</si>
  <si>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</si>
  <si>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</si>
  <si>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</si>
  <si>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</si>
  <si>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</si>
  <si>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</si>
  <si>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</si>
  <si>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</si>
  <si>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</si>
  <si>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</si>
  <si>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</si>
  <si>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</si>
  <si>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</si>
  <si>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</si>
  <si>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</si>
  <si>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</si>
  <si>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</si>
  <si>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</si>
  <si>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</si>
  <si>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</si>
  <si>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</si>
  <si>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</si>
  <si>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</si>
  <si>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</si>
  <si>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</si>
  <si>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</si>
  <si>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</si>
  <si>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</si>
  <si>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</si>
  <si>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</si>
  <si>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</si>
  <si>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</si>
  <si>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</si>
  <si>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</si>
  <si>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</si>
  <si>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</si>
  <si>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</si>
  <si>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</si>
  <si>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</si>
  <si>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</si>
  <si>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</si>
  <si>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</si>
  <si>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</si>
  <si>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</si>
  <si>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</si>
  <si>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</si>
  <si>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</si>
  <si>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</si>
  <si>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</si>
  <si>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</si>
  <si>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</si>
  <si>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</si>
  <si>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</si>
  <si>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</si>
  <si>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</si>
  <si>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</si>
  <si>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</si>
  <si>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</si>
  <si>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</si>
  <si>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</si>
  <si>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</si>
  <si>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</si>
  <si>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</si>
  <si>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</si>
  <si>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</si>
  <si>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</si>
  <si>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</si>
  <si>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</si>
  <si>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</si>
  <si>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</si>
  <si>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</si>
  <si>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</si>
  <si>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</si>
  <si>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</si>
  <si>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</si>
  <si>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</si>
  <si>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</si>
  <si>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</si>
  <si>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</si>
  <si>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</si>
  <si>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</si>
  <si>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</si>
  <si>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</si>
  <si>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</si>
  <si>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</si>
  <si>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</si>
  <si>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</si>
  <si>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</si>
  <si>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</si>
  <si>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</si>
  <si>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</si>
  <si>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</si>
  <si>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</si>
  <si>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</si>
  <si>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</si>
  <si>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</si>
  <si>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</si>
  <si>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</si>
  <si>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</si>
  <si>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</si>
  <si>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</si>
  <si>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</si>
  <si>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</si>
  <si>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</si>
  <si>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</si>
  <si>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</si>
  <si>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</si>
  <si>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</si>
  <si>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</si>
  <si>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</si>
  <si>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</si>
  <si>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</si>
  <si>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</si>
  <si>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</si>
  <si>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</si>
  <si>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</si>
  <si>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</si>
  <si>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</si>
  <si>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</si>
  <si>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</si>
  <si>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</si>
  <si>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</si>
  <si>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</si>
  <si>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</si>
  <si>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</si>
  <si>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</si>
  <si>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</si>
  <si>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</si>
  <si>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</si>
  <si>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</si>
  <si>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</si>
  <si>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</si>
  <si>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</si>
  <si>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</si>
  <si>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</si>
  <si>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</si>
  <si>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</si>
  <si>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</si>
  <si>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</si>
  <si>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</si>
  <si>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</si>
  <si>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</si>
  <si>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</si>
  <si>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</si>
  <si>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</si>
  <si>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</si>
  <si>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</si>
  <si>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</si>
  <si>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</si>
  <si>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</si>
  <si>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</si>
  <si>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</si>
  <si>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</si>
  <si>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</si>
  <si>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</si>
  <si>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</si>
  <si>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</si>
  <si>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</si>
  <si>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</si>
  <si>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</si>
  <si>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</si>
  <si>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</si>
  <si>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</si>
  <si>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</si>
  <si>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</si>
  <si>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</si>
  <si>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</si>
  <si>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</si>
  <si>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</si>
  <si>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</si>
  <si>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</si>
  <si>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</si>
  <si>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</si>
  <si>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</si>
  <si>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</si>
  <si>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</si>
  <si>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</si>
  <si>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</si>
  <si>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</si>
  <si>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</si>
  <si>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</si>
  <si>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</si>
  <si>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</si>
  <si>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</si>
  <si>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</si>
  <si>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</si>
  <si>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</si>
  <si>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</si>
  <si>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</si>
  <si>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</si>
  <si>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</si>
  <si>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</si>
  <si>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</si>
  <si>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</si>
  <si>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</si>
  <si>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</si>
  <si>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</si>
  <si>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</si>
  <si>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</si>
  <si>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</si>
  <si>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</si>
  <si>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</si>
  <si>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</si>
  <si>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</si>
  <si>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</si>
  <si>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</si>
  <si>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</si>
  <si>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</si>
  <si>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</si>
  <si>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</si>
  <si>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</si>
  <si>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</si>
  <si>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</si>
  <si>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</si>
  <si>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</si>
  <si>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</si>
  <si>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</si>
  <si>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</si>
  <si>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</si>
  <si>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</si>
  <si>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</si>
  <si>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</si>
  <si>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</si>
  <si>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</si>
  <si>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</si>
  <si>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</si>
  <si>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</si>
  <si>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</si>
  <si>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</si>
  <si>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</si>
  <si>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</si>
  <si>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</si>
  <si>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</si>
  <si>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</si>
  <si>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</si>
  <si>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</si>
  <si>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</si>
  <si>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</si>
  <si>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</si>
  <si>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</si>
  <si>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</si>
  <si>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</si>
  <si>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</si>
  <si>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</si>
  <si>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</si>
  <si>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</si>
  <si>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</si>
  <si>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</si>
  <si>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</si>
  <si>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</si>
  <si>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</si>
  <si>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</si>
  <si>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</si>
  <si>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</si>
  <si>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</si>
  <si>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</si>
  <si>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</si>
  <si>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</si>
  <si>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</si>
  <si>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</si>
  <si>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</si>
  <si>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</si>
  <si>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</si>
  <si>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</si>
  <si>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</si>
  <si>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</si>
  <si>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</si>
  <si>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</si>
  <si>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</si>
  <si>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</si>
  <si>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</si>
  <si>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</si>
  <si>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</si>
  <si>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</si>
  <si>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</si>
  <si>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</si>
  <si>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</si>
  <si>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</si>
  <si>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</si>
  <si>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</si>
  <si>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</si>
  <si>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</si>
  <si>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</si>
  <si>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</si>
  <si>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</si>
  <si>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</si>
  <si>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</si>
  <si>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</si>
  <si>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</si>
  <si>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</si>
  <si>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</si>
  <si>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</si>
  <si>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</si>
  <si>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</si>
  <si>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</si>
  <si>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</si>
  <si>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</si>
  <si>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</si>
  <si>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</si>
  <si>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</si>
  <si>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</si>
  <si>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</si>
  <si>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</si>
  <si>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</si>
  <si>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</si>
  <si>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</si>
  <si>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</si>
  <si>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</si>
  <si>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</si>
  <si>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</si>
  <si>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</si>
  <si>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</si>
  <si>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</si>
  <si>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</si>
  <si>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</si>
  <si>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</si>
  <si>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</si>
  <si>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</si>
  <si>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</si>
  <si>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</si>
  <si>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</si>
  <si>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</si>
  <si>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</si>
  <si>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</si>
  <si>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</si>
  <si>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</si>
  <si>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</si>
  <si>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</si>
  <si>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</si>
  <si>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</si>
  <si>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</si>
  <si>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</si>
  <si>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</si>
  <si>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</si>
  <si>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</si>
  <si>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</si>
  <si>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</si>
  <si>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</si>
  <si>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</si>
  <si>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</si>
  <si>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</si>
  <si>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</si>
  <si>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</si>
  <si>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</si>
  <si>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</si>
  <si>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</si>
  <si>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</si>
  <si>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</si>
  <si>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</si>
  <si>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</si>
  <si>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</si>
  <si>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</si>
  <si>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</si>
  <si>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</si>
  <si>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</si>
  <si>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</si>
  <si>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</si>
  <si>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</si>
  <si>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</si>
  <si>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</si>
  <si>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</si>
  <si>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</si>
  <si>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</si>
  <si>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</si>
  <si>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</si>
  <si>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</si>
  <si>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</si>
  <si>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</si>
  <si>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</si>
  <si>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</si>
  <si>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</si>
  <si>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</si>
  <si>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</si>
  <si>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</si>
  <si>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</si>
  <si>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</si>
  <si>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</si>
  <si>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</si>
  <si>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</si>
  <si>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</si>
  <si>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</si>
  <si>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</si>
  <si>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</si>
  <si>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</si>
  <si>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</si>
  <si>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</si>
  <si>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</si>
  <si>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</si>
  <si>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</si>
  <si>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</si>
  <si>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</si>
  <si>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</si>
  <si>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</si>
  <si>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</si>
  <si>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</si>
  <si>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</si>
  <si>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</si>
  <si>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</si>
  <si>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</si>
  <si>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</si>
  <si>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</si>
  <si>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</si>
  <si>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</si>
  <si>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</si>
  <si>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</si>
  <si>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</si>
  <si>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</si>
  <si>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</si>
  <si>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</si>
  <si>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</si>
  <si>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</si>
  <si>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</si>
  <si>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</si>
  <si>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</si>
  <si>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</si>
  <si>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</si>
  <si>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</si>
  <si>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</si>
  <si>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</si>
  <si>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</si>
  <si>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</si>
  <si>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</si>
  <si>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</si>
  <si>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</si>
  <si>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</si>
  <si>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</si>
  <si>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</si>
  <si>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</si>
  <si>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</si>
  <si>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</si>
  <si>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</si>
  <si>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</si>
  <si>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</si>
  <si>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</si>
  <si>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</si>
  <si>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</si>
  <si>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</si>
  <si>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</si>
  <si>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</si>
  <si>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</si>
  <si>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</si>
  <si>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</si>
  <si>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</si>
  <si>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</si>
  <si>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</si>
  <si>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</si>
  <si>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</si>
  <si>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</si>
  <si>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</si>
  <si>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</si>
  <si>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</si>
  <si>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</si>
  <si>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</si>
  <si>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</si>
  <si>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</si>
  <si>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</si>
  <si>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</si>
  <si>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</si>
  <si>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</si>
  <si>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</si>
  <si>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</si>
  <si>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</si>
  <si>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</si>
  <si>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</si>
  <si>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</si>
  <si>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</si>
  <si>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</si>
  <si>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</si>
  <si>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</si>
  <si>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</si>
  <si>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</si>
  <si>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</si>
  <si>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</si>
  <si>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</si>
  <si>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</si>
  <si>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</si>
  <si>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</si>
  <si>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</si>
  <si>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</si>
  <si>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</si>
  <si>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</si>
  <si>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</si>
  <si>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</si>
  <si>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</si>
  <si>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</si>
  <si>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</si>
  <si>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</si>
  <si>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</si>
  <si>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</si>
  <si>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</si>
  <si>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</si>
  <si>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</si>
  <si>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</si>
  <si>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</si>
  <si>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</si>
  <si>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</si>
  <si>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</si>
  <si>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</si>
  <si>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</si>
  <si>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</si>
  <si>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</si>
  <si>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</si>
  <si>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</si>
  <si>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</si>
  <si>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</si>
  <si>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</si>
  <si>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</si>
  <si>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</si>
  <si>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</si>
  <si>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</si>
  <si>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</si>
  <si>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</si>
  <si>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</si>
  <si>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</si>
  <si>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</si>
  <si>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</si>
  <si>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</si>
  <si>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</si>
  <si>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</si>
  <si>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</si>
  <si>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</si>
  <si>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</si>
  <si>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</si>
  <si>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</si>
  <si>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</si>
  <si>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</si>
  <si>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</si>
  <si>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</si>
  <si>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</si>
  <si>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</si>
  <si>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</si>
  <si>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</si>
  <si>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</si>
  <si>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</si>
  <si>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</si>
  <si>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</si>
  <si>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</si>
  <si>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</si>
  <si>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</si>
  <si>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</si>
  <si>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</si>
  <si>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</si>
  <si>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</si>
  <si>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</si>
  <si>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</si>
  <si>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</si>
  <si>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</si>
  <si>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</si>
  <si>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</si>
  <si>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</si>
  <si>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</si>
  <si>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</si>
  <si>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</si>
  <si>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</si>
  <si>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</si>
  <si>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</si>
  <si>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</si>
  <si>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</si>
  <si>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</si>
  <si>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</si>
  <si>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</si>
  <si>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</si>
  <si>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</si>
  <si>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</si>
  <si>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</si>
  <si>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</si>
  <si>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</si>
  <si>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</si>
  <si>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</si>
  <si>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</si>
  <si>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</si>
  <si>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</si>
  <si>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</si>
  <si>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</si>
  <si>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</si>
  <si>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</si>
  <si>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</si>
  <si>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</si>
  <si>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</si>
  <si>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</si>
  <si>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</si>
  <si>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</si>
  <si>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</si>
  <si>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</si>
  <si>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</si>
  <si>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</si>
  <si>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</si>
  <si>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</si>
  <si>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</si>
  <si>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</si>
  <si>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</si>
  <si>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</si>
  <si>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</si>
  <si>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</si>
  <si>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</si>
  <si>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</si>
  <si>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</si>
  <si>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</si>
  <si>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</si>
  <si>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</si>
  <si>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</si>
  <si>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</si>
  <si>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</si>
  <si>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</si>
  <si>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</si>
  <si>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</si>
  <si>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</si>
  <si>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</si>
  <si>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</si>
  <si>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</si>
  <si>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</si>
  <si>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</si>
  <si>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</si>
  <si>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</si>
  <si>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</si>
  <si>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</si>
  <si>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</si>
  <si>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</si>
  <si>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</si>
  <si>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</si>
  <si>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</si>
  <si>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</si>
  <si>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</si>
  <si>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</si>
  <si>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</si>
  <si>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</si>
  <si>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</si>
  <si>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</si>
  <si>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</si>
  <si>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</si>
  <si>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</si>
  <si>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</si>
  <si>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</si>
  <si>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</si>
  <si>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</si>
  <si>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</si>
  <si>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</si>
  <si>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</si>
  <si>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</si>
  <si>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</si>
  <si>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</si>
  <si>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</si>
  <si>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</si>
  <si>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</si>
  <si>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</si>
  <si>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</si>
  <si>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</si>
  <si>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</si>
  <si>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</si>
  <si>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</si>
  <si>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Greenland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</si>
</sst>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215</v>
      </c>
      <c r="C2" s="21">
        <v>215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445702.33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226268.96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1285.45</v>
      </c>
      <c r="G12" s="18"/>
      <c r="H12" s="18">
        <v>14084.61</v>
      </c>
      <c r="I12" s="18"/>
      <c r="J12" s="67">
        <f>SUM(I441)</f>
        <v>24000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4006.5</v>
      </c>
      <c r="G13" s="18">
        <v>1285.45</v>
      </c>
      <c r="H13" s="18">
        <v>2680.21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1994.29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450994.28</v>
      </c>
      <c r="G19" s="41">
        <f>SUM(G9:G18)</f>
        <v>3279.74</v>
      </c>
      <c r="H19" s="41">
        <f>SUM(H9:H18)</f>
        <v>16764.82</v>
      </c>
      <c r="I19" s="41">
        <f>SUM(I9:I18)</f>
        <v>0</v>
      </c>
      <c r="J19" s="41">
        <f>SUM(J9:J18)</f>
        <v>250268.96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2680.21</v>
      </c>
      <c r="G22" s="18">
        <v>1285.45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2680.21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2680.21</v>
      </c>
      <c r="G32" s="41">
        <f>SUM(G22:G31)</f>
        <v>1285.45</v>
      </c>
      <c r="H32" s="41">
        <f>SUM(H22:H31)</f>
        <v>2680.21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1994.29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14084.61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223380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250268.96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29382.52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45551.55+75000</f>
        <v>120551.55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448314.07</v>
      </c>
      <c r="G51" s="41">
        <f>SUM(G35:G50)</f>
        <v>1994.29</v>
      </c>
      <c r="H51" s="41">
        <f>SUM(H35:H50)</f>
        <v>14084.61</v>
      </c>
      <c r="I51" s="41">
        <f>SUM(I35:I50)</f>
        <v>0</v>
      </c>
      <c r="J51" s="41">
        <f>SUM(J35:J50)</f>
        <v>250268.96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450994.28</v>
      </c>
      <c r="G52" s="41">
        <f>G51+G32</f>
        <v>3279.74</v>
      </c>
      <c r="H52" s="41">
        <f>H51+H32</f>
        <v>16764.82</v>
      </c>
      <c r="I52" s="41">
        <f>I51+I32</f>
        <v>0</v>
      </c>
      <c r="J52" s="41">
        <f>J51+J32</f>
        <v>250268.96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7287256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7287256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4216.8999999999996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4216.8999999999996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1686.56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69009.100000000006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24000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29359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78970.649999999994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1165.1600000000001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104135.81</v>
      </c>
      <c r="G111" s="41">
        <f>SUM(G96:G110)</f>
        <v>69009.100000000006</v>
      </c>
      <c r="H111" s="41">
        <f>SUM(H96:H110)</f>
        <v>29359</v>
      </c>
      <c r="I111" s="41">
        <f>SUM(I96:I110)</f>
        <v>0</v>
      </c>
      <c r="J111" s="41">
        <f>SUM(J96:J110)</f>
        <v>1686.56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7395608.71</v>
      </c>
      <c r="G112" s="41">
        <f>G60+G111</f>
        <v>69009.100000000006</v>
      </c>
      <c r="H112" s="41">
        <f>H60+H79+H94+H111</f>
        <v>29359</v>
      </c>
      <c r="I112" s="41">
        <f>I60+I111</f>
        <v>0</v>
      </c>
      <c r="J112" s="41">
        <f>J60+J111</f>
        <v>1686.56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510291.1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1647928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3483.85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2161702.9500000002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105464.42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72104.800000000003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1261.6500000000001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177569.22</v>
      </c>
      <c r="G136" s="41">
        <f>SUM(G123:G135)</f>
        <v>1261.6500000000001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2339272.1700000004</v>
      </c>
      <c r="G140" s="41">
        <f>G121+SUM(G136:G137)</f>
        <v>1261.6500000000001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38768.519999999997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15549.25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37640.089999999997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37640.089999999997</v>
      </c>
      <c r="G162" s="41">
        <f>SUM(G150:G161)</f>
        <v>15549.25</v>
      </c>
      <c r="H162" s="41">
        <f>SUM(H150:H161)</f>
        <v>38768.519999999997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37640.089999999997</v>
      </c>
      <c r="G169" s="41">
        <f>G147+G162+SUM(G163:G168)</f>
        <v>15549.25</v>
      </c>
      <c r="H169" s="41">
        <f>H147+H162+SUM(H163:H168)</f>
        <v>38768.519999999997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8771.86</v>
      </c>
      <c r="H179" s="18"/>
      <c r="I179" s="18"/>
      <c r="J179" s="18">
        <v>124000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8771.86</v>
      </c>
      <c r="H183" s="41">
        <f>SUM(H179:H182)</f>
        <v>0</v>
      </c>
      <c r="I183" s="41">
        <f>SUM(I179:I182)</f>
        <v>0</v>
      </c>
      <c r="J183" s="41">
        <f>SUM(J179:J182)</f>
        <v>124000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274040.44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274040.44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274040.44</v>
      </c>
      <c r="G192" s="41">
        <f>G183+SUM(G188:G191)</f>
        <v>8771.86</v>
      </c>
      <c r="H192" s="41">
        <f>+H183+SUM(H188:H191)</f>
        <v>0</v>
      </c>
      <c r="I192" s="41">
        <f>I177+I183+SUM(I188:I191)</f>
        <v>0</v>
      </c>
      <c r="J192" s="41">
        <f>J183</f>
        <v>124000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10046561.41</v>
      </c>
      <c r="G193" s="47">
        <f>G112+G140+G169+G192</f>
        <v>94591.86</v>
      </c>
      <c r="H193" s="47">
        <f>H112+H140+H169+H192</f>
        <v>68127.51999999999</v>
      </c>
      <c r="I193" s="47">
        <f>I112+I140+I169+I192</f>
        <v>0</v>
      </c>
      <c r="J193" s="47">
        <f>J112+J140+J192</f>
        <v>125686.56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2019134.26</v>
      </c>
      <c r="G197" s="18">
        <v>938065.09</v>
      </c>
      <c r="H197" s="18">
        <v>7399.85</v>
      </c>
      <c r="I197" s="18">
        <v>50853.48</v>
      </c>
      <c r="J197" s="18">
        <v>6121.54</v>
      </c>
      <c r="K197" s="18"/>
      <c r="L197" s="19">
        <f>SUM(F197:K197)</f>
        <v>3021574.22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590099.26</v>
      </c>
      <c r="G198" s="18">
        <v>274152.90000000002</v>
      </c>
      <c r="H198" s="18">
        <v>295393.88</v>
      </c>
      <c r="I198" s="18">
        <v>8190.82</v>
      </c>
      <c r="J198" s="18">
        <v>8535.4599999999991</v>
      </c>
      <c r="K198" s="18"/>
      <c r="L198" s="19">
        <f>SUM(F198:K198)</f>
        <v>1176372.32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50599.08</v>
      </c>
      <c r="G200" s="18">
        <v>3956.89</v>
      </c>
      <c r="H200" s="18">
        <v>41741.089999999997</v>
      </c>
      <c r="I200" s="18">
        <v>4763.33</v>
      </c>
      <c r="J200" s="18"/>
      <c r="K200" s="18"/>
      <c r="L200" s="19">
        <f>SUM(F200:K200)</f>
        <v>101060.39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279039.17</v>
      </c>
      <c r="G202" s="18">
        <v>129638.18</v>
      </c>
      <c r="H202" s="18">
        <v>28994.49</v>
      </c>
      <c r="I202" s="18">
        <v>3590.33</v>
      </c>
      <c r="J202" s="18">
        <v>3123.24</v>
      </c>
      <c r="K202" s="18"/>
      <c r="L202" s="19">
        <f t="shared" ref="L202:L208" si="0">SUM(F202:K202)</f>
        <v>444385.41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70958</v>
      </c>
      <c r="G203" s="18">
        <v>56891.86</v>
      </c>
      <c r="H203" s="18">
        <v>20702</v>
      </c>
      <c r="I203" s="18">
        <v>10121.209999999999</v>
      </c>
      <c r="J203" s="18">
        <v>48626.31</v>
      </c>
      <c r="K203" s="18">
        <v>521</v>
      </c>
      <c r="L203" s="19">
        <f t="shared" si="0"/>
        <v>207820.37999999998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13490.1</v>
      </c>
      <c r="G204" s="18">
        <v>1054.94</v>
      </c>
      <c r="H204" s="18">
        <v>402935.22</v>
      </c>
      <c r="I204" s="18">
        <v>134.1</v>
      </c>
      <c r="J204" s="18"/>
      <c r="K204" s="18">
        <v>5893.02</v>
      </c>
      <c r="L204" s="19">
        <f t="shared" si="0"/>
        <v>423507.37999999995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245644.62</v>
      </c>
      <c r="G205" s="18">
        <v>114123.48</v>
      </c>
      <c r="H205" s="18">
        <v>19604.77</v>
      </c>
      <c r="I205" s="18">
        <v>1276.99</v>
      </c>
      <c r="J205" s="18"/>
      <c r="K205" s="18">
        <v>1419</v>
      </c>
      <c r="L205" s="19">
        <f t="shared" si="0"/>
        <v>382068.86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5373.02</v>
      </c>
      <c r="L206" s="19">
        <f t="shared" si="0"/>
        <v>5373.02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189509.03</v>
      </c>
      <c r="G207" s="18">
        <v>88043.58</v>
      </c>
      <c r="H207" s="18">
        <v>113721.16</v>
      </c>
      <c r="I207" s="18">
        <v>134443.23000000001</v>
      </c>
      <c r="J207" s="18">
        <v>978</v>
      </c>
      <c r="K207" s="18"/>
      <c r="L207" s="19">
        <f t="shared" si="0"/>
        <v>526695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365381.75</v>
      </c>
      <c r="I208" s="18"/>
      <c r="J208" s="18"/>
      <c r="K208" s="18"/>
      <c r="L208" s="19">
        <f t="shared" si="0"/>
        <v>365381.75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2920</v>
      </c>
      <c r="H209" s="18">
        <v>17239.95</v>
      </c>
      <c r="I209" s="18">
        <v>369.42</v>
      </c>
      <c r="J209" s="18"/>
      <c r="K209" s="18"/>
      <c r="L209" s="19">
        <f>SUM(F209:K209)</f>
        <v>20529.37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3458473.52</v>
      </c>
      <c r="G211" s="41">
        <f t="shared" si="1"/>
        <v>1608846.92</v>
      </c>
      <c r="H211" s="41">
        <f t="shared" si="1"/>
        <v>1313114.1599999999</v>
      </c>
      <c r="I211" s="41">
        <f t="shared" si="1"/>
        <v>213742.91000000006</v>
      </c>
      <c r="J211" s="41">
        <f t="shared" si="1"/>
        <v>67384.549999999988</v>
      </c>
      <c r="K211" s="41">
        <f t="shared" si="1"/>
        <v>13206.04</v>
      </c>
      <c r="L211" s="41">
        <f t="shared" si="1"/>
        <v>6674768.0999999996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2708217.68</v>
      </c>
      <c r="I233" s="18"/>
      <c r="J233" s="18"/>
      <c r="K233" s="18"/>
      <c r="L233" s="19">
        <f>SUM(F233:K233)</f>
        <v>2708217.68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2475</v>
      </c>
      <c r="G234" s="18"/>
      <c r="H234" s="18">
        <v>137830.39999999999</v>
      </c>
      <c r="I234" s="18"/>
      <c r="J234" s="18"/>
      <c r="K234" s="18"/>
      <c r="L234" s="19">
        <f>SUM(F234:K234)</f>
        <v>140305.4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1498.9</v>
      </c>
      <c r="G240" s="18">
        <v>117.22</v>
      </c>
      <c r="H240" s="18">
        <v>44770.47</v>
      </c>
      <c r="I240" s="18">
        <v>14.9</v>
      </c>
      <c r="J240" s="18"/>
      <c r="K240" s="18">
        <v>654.78</v>
      </c>
      <c r="L240" s="19">
        <f t="shared" si="4"/>
        <v>47056.270000000004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31984.02</v>
      </c>
      <c r="I244" s="18"/>
      <c r="J244" s="18"/>
      <c r="K244" s="18"/>
      <c r="L244" s="19">
        <f t="shared" si="4"/>
        <v>31984.02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3973.9</v>
      </c>
      <c r="G247" s="41">
        <f t="shared" si="5"/>
        <v>117.22</v>
      </c>
      <c r="H247" s="41">
        <f t="shared" si="5"/>
        <v>2922802.5700000003</v>
      </c>
      <c r="I247" s="41">
        <f t="shared" si="5"/>
        <v>14.9</v>
      </c>
      <c r="J247" s="41">
        <f t="shared" si="5"/>
        <v>0</v>
      </c>
      <c r="K247" s="41">
        <f t="shared" si="5"/>
        <v>654.78</v>
      </c>
      <c r="L247" s="41">
        <f t="shared" si="5"/>
        <v>2927563.37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46776.88</v>
      </c>
      <c r="I255" s="18"/>
      <c r="J255" s="18"/>
      <c r="K255" s="18"/>
      <c r="L255" s="19">
        <f t="shared" si="6"/>
        <v>46776.88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46776.88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46776.88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3462447.42</v>
      </c>
      <c r="G257" s="41">
        <f t="shared" si="8"/>
        <v>1608964.14</v>
      </c>
      <c r="H257" s="41">
        <f t="shared" si="8"/>
        <v>4282693.6100000003</v>
      </c>
      <c r="I257" s="41">
        <f t="shared" si="8"/>
        <v>213757.81000000006</v>
      </c>
      <c r="J257" s="41">
        <f t="shared" si="8"/>
        <v>67384.549999999988</v>
      </c>
      <c r="K257" s="41">
        <f t="shared" si="8"/>
        <v>13860.820000000002</v>
      </c>
      <c r="L257" s="41">
        <f t="shared" si="8"/>
        <v>9649108.3499999996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320000</v>
      </c>
      <c r="L260" s="19">
        <f>SUM(F260:K260)</f>
        <v>320000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75564</v>
      </c>
      <c r="L261" s="19">
        <f>SUM(F261:K261)</f>
        <v>75564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8771.86</v>
      </c>
      <c r="L263" s="19">
        <f>SUM(F263:K263)</f>
        <v>8771.86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124000</v>
      </c>
      <c r="L266" s="19">
        <f t="shared" si="9"/>
        <v>124000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528335.86</v>
      </c>
      <c r="L270" s="41">
        <f t="shared" si="9"/>
        <v>528335.86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3462447.42</v>
      </c>
      <c r="G271" s="42">
        <f t="shared" si="11"/>
        <v>1608964.14</v>
      </c>
      <c r="H271" s="42">
        <f t="shared" si="11"/>
        <v>4282693.6100000003</v>
      </c>
      <c r="I271" s="42">
        <f t="shared" si="11"/>
        <v>213757.81000000006</v>
      </c>
      <c r="J271" s="42">
        <f t="shared" si="11"/>
        <v>67384.549999999988</v>
      </c>
      <c r="K271" s="42">
        <f t="shared" si="11"/>
        <v>542196.67999999993</v>
      </c>
      <c r="L271" s="42">
        <f t="shared" si="11"/>
        <v>10177444.209999999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19686.79</v>
      </c>
      <c r="G276" s="18">
        <v>1531.95</v>
      </c>
      <c r="H276" s="18">
        <v>85</v>
      </c>
      <c r="I276" s="18">
        <v>4683.7</v>
      </c>
      <c r="J276" s="18"/>
      <c r="K276" s="18">
        <v>54.22</v>
      </c>
      <c r="L276" s="19">
        <f>SUM(F276:K276)</f>
        <v>26041.660000000003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16080</v>
      </c>
      <c r="G282" s="18">
        <v>3054.89</v>
      </c>
      <c r="H282" s="18">
        <v>552.47</v>
      </c>
      <c r="I282" s="18">
        <v>8699.4299999999985</v>
      </c>
      <c r="J282" s="18"/>
      <c r="K282" s="18">
        <v>4276.5199999999995</v>
      </c>
      <c r="L282" s="19">
        <f t="shared" si="12"/>
        <v>32663.31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35766.79</v>
      </c>
      <c r="G290" s="42">
        <f t="shared" si="13"/>
        <v>4586.84</v>
      </c>
      <c r="H290" s="42">
        <f t="shared" si="13"/>
        <v>637.47</v>
      </c>
      <c r="I290" s="42">
        <f t="shared" si="13"/>
        <v>13383.129999999997</v>
      </c>
      <c r="J290" s="42">
        <f t="shared" si="13"/>
        <v>0</v>
      </c>
      <c r="K290" s="42">
        <f t="shared" si="13"/>
        <v>4330.74</v>
      </c>
      <c r="L290" s="41">
        <f t="shared" si="13"/>
        <v>58704.97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35766.79</v>
      </c>
      <c r="G338" s="41">
        <f t="shared" si="20"/>
        <v>4586.84</v>
      </c>
      <c r="H338" s="41">
        <f t="shared" si="20"/>
        <v>637.47</v>
      </c>
      <c r="I338" s="41">
        <f t="shared" si="20"/>
        <v>13383.129999999997</v>
      </c>
      <c r="J338" s="41">
        <f t="shared" si="20"/>
        <v>0</v>
      </c>
      <c r="K338" s="41">
        <f t="shared" si="20"/>
        <v>4330.74</v>
      </c>
      <c r="L338" s="41">
        <f t="shared" si="20"/>
        <v>58704.97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35766.79</v>
      </c>
      <c r="G352" s="41">
        <f>G338</f>
        <v>4586.84</v>
      </c>
      <c r="H352" s="41">
        <f>H338</f>
        <v>637.47</v>
      </c>
      <c r="I352" s="41">
        <f>I338</f>
        <v>13383.129999999997</v>
      </c>
      <c r="J352" s="41">
        <f>J338</f>
        <v>0</v>
      </c>
      <c r="K352" s="47">
        <f>K338+K351</f>
        <v>4330.74</v>
      </c>
      <c r="L352" s="41">
        <f>L338+L351</f>
        <v>58704.97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47614.74</v>
      </c>
      <c r="G358" s="18"/>
      <c r="H358" s="18">
        <v>692.6</v>
      </c>
      <c r="I358" s="18">
        <v>39290.519999999997</v>
      </c>
      <c r="J358" s="18">
        <v>6994</v>
      </c>
      <c r="K358" s="18"/>
      <c r="L358" s="13">
        <f>SUM(F358:K358)</f>
        <v>94591.859999999986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47614.74</v>
      </c>
      <c r="G362" s="47">
        <f t="shared" si="22"/>
        <v>0</v>
      </c>
      <c r="H362" s="47">
        <f t="shared" si="22"/>
        <v>692.6</v>
      </c>
      <c r="I362" s="47">
        <f t="shared" si="22"/>
        <v>39290.519999999997</v>
      </c>
      <c r="J362" s="47">
        <f t="shared" si="22"/>
        <v>6994</v>
      </c>
      <c r="K362" s="47">
        <f t="shared" si="22"/>
        <v>0</v>
      </c>
      <c r="L362" s="47">
        <f t="shared" si="22"/>
        <v>94591.859999999986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37348.18</v>
      </c>
      <c r="G367" s="18"/>
      <c r="H367" s="18"/>
      <c r="I367" s="56">
        <f>SUM(F367:H367)</f>
        <v>37348.18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1942.34</v>
      </c>
      <c r="G368" s="63"/>
      <c r="H368" s="63"/>
      <c r="I368" s="56">
        <f>SUM(F368:H368)</f>
        <v>1942.34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39290.519999999997</v>
      </c>
      <c r="G369" s="47">
        <f>SUM(G367:G368)</f>
        <v>0</v>
      </c>
      <c r="H369" s="47">
        <f>SUM(H367:H368)</f>
        <v>0</v>
      </c>
      <c r="I369" s="47">
        <f>SUM(I367:I368)</f>
        <v>39290.519999999997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0.42</v>
      </c>
      <c r="I395" s="18"/>
      <c r="J395" s="24" t="s">
        <v>286</v>
      </c>
      <c r="K395" s="24" t="s">
        <v>286</v>
      </c>
      <c r="L395" s="56">
        <f t="shared" ref="L395:L400" si="26">SUM(F395:K395)</f>
        <v>0.42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24000</v>
      </c>
      <c r="H396" s="18">
        <v>50.58</v>
      </c>
      <c r="I396" s="18"/>
      <c r="J396" s="24" t="s">
        <v>286</v>
      </c>
      <c r="K396" s="24" t="s">
        <v>286</v>
      </c>
      <c r="L396" s="56">
        <f t="shared" si="26"/>
        <v>24050.58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22.22</v>
      </c>
      <c r="I397" s="18"/>
      <c r="J397" s="24" t="s">
        <v>286</v>
      </c>
      <c r="K397" s="24" t="s">
        <v>286</v>
      </c>
      <c r="L397" s="56">
        <f t="shared" si="26"/>
        <v>25022.22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75000</v>
      </c>
      <c r="H398" s="18">
        <v>1613.34</v>
      </c>
      <c r="I398" s="18"/>
      <c r="J398" s="24" t="s">
        <v>286</v>
      </c>
      <c r="K398" s="24" t="s">
        <v>286</v>
      </c>
      <c r="L398" s="56">
        <f t="shared" si="26"/>
        <v>76613.34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124000</v>
      </c>
      <c r="H401" s="47">
        <f>SUM(H395:H400)</f>
        <v>1686.56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125686.56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124000</v>
      </c>
      <c r="H408" s="47">
        <f>H393+H401+H407</f>
        <v>1686.56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125686.56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70040.44</v>
      </c>
      <c r="L422" s="56">
        <f t="shared" si="29"/>
        <v>70040.44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25000</v>
      </c>
      <c r="L423" s="56">
        <f t="shared" si="29"/>
        <v>25000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>
        <v>179000</v>
      </c>
      <c r="L424" s="56">
        <f t="shared" si="29"/>
        <v>179000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274040.44</v>
      </c>
      <c r="L427" s="47">
        <f t="shared" si="30"/>
        <v>274040.44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274040.44</v>
      </c>
      <c r="L434" s="47">
        <f t="shared" si="32"/>
        <v>274040.44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226268.96</v>
      </c>
      <c r="H440" s="18"/>
      <c r="I440" s="56">
        <f t="shared" si="33"/>
        <v>226268.96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24000</v>
      </c>
      <c r="H441" s="18"/>
      <c r="I441" s="56">
        <f t="shared" si="33"/>
        <v>24000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250268.96</v>
      </c>
      <c r="H446" s="13">
        <f>SUM(H439:H445)</f>
        <v>0</v>
      </c>
      <c r="I446" s="13">
        <f>SUM(I439:I445)</f>
        <v>250268.96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250268.96</v>
      </c>
      <c r="H459" s="18"/>
      <c r="I459" s="56">
        <f t="shared" si="34"/>
        <v>250268.96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250268.96</v>
      </c>
      <c r="H460" s="83">
        <f>SUM(H454:H459)</f>
        <v>0</v>
      </c>
      <c r="I460" s="83">
        <f>SUM(I454:I459)</f>
        <v>250268.96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250268.96</v>
      </c>
      <c r="H461" s="42">
        <f>H452+H460</f>
        <v>0</v>
      </c>
      <c r="I461" s="42">
        <f>I452+I460</f>
        <v>250268.96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579196.87</v>
      </c>
      <c r="G465" s="18">
        <v>1994.29</v>
      </c>
      <c r="H465" s="18">
        <v>4662.0600000000004</v>
      </c>
      <c r="I465" s="18"/>
      <c r="J465" s="18">
        <v>398622.84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10046561.41</v>
      </c>
      <c r="G468" s="18">
        <v>94591.86</v>
      </c>
      <c r="H468" s="18">
        <v>68127.520000000004</v>
      </c>
      <c r="I468" s="18"/>
      <c r="J468" s="18">
        <v>125686.56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10046561.41</v>
      </c>
      <c r="G470" s="53">
        <f>SUM(G468:G469)</f>
        <v>94591.86</v>
      </c>
      <c r="H470" s="53">
        <f>SUM(H468:H469)</f>
        <v>68127.520000000004</v>
      </c>
      <c r="I470" s="53">
        <f>SUM(I468:I469)</f>
        <v>0</v>
      </c>
      <c r="J470" s="53">
        <f>SUM(J468:J469)</f>
        <v>125686.56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10177444.210000001</v>
      </c>
      <c r="G472" s="18">
        <v>94591.86</v>
      </c>
      <c r="H472" s="18">
        <v>58704.97</v>
      </c>
      <c r="I472" s="18"/>
      <c r="J472" s="18">
        <v>274040.44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10177444.210000001</v>
      </c>
      <c r="G474" s="53">
        <f>SUM(G472:G473)</f>
        <v>94591.86</v>
      </c>
      <c r="H474" s="53">
        <f>SUM(H472:H473)</f>
        <v>58704.97</v>
      </c>
      <c r="I474" s="53">
        <f>SUM(I472:I473)</f>
        <v>0</v>
      </c>
      <c r="J474" s="53">
        <f>SUM(J472:J473)</f>
        <v>274040.44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448314.06999999844</v>
      </c>
      <c r="G476" s="53">
        <f>(G465+G470)- G474</f>
        <v>1994.2899999999936</v>
      </c>
      <c r="H476" s="53">
        <f>(H465+H470)- H474</f>
        <v>14084.61</v>
      </c>
      <c r="I476" s="53">
        <f>(I465+I470)- I474</f>
        <v>0</v>
      </c>
      <c r="J476" s="53">
        <f>(J465+J470)- J474</f>
        <v>250268.96000000002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6473515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4.4400000000000004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1920000</v>
      </c>
      <c r="G495" s="18"/>
      <c r="H495" s="18"/>
      <c r="I495" s="18"/>
      <c r="J495" s="18"/>
      <c r="K495" s="53">
        <f>SUM(F495:J495)</f>
        <v>1920000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320000</v>
      </c>
      <c r="G497" s="18"/>
      <c r="H497" s="18"/>
      <c r="I497" s="18"/>
      <c r="J497" s="18"/>
      <c r="K497" s="53">
        <f t="shared" si="35"/>
        <v>320000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1600000</v>
      </c>
      <c r="G498" s="204"/>
      <c r="H498" s="204"/>
      <c r="I498" s="204"/>
      <c r="J498" s="204"/>
      <c r="K498" s="205">
        <f t="shared" si="35"/>
        <v>1600000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187426</v>
      </c>
      <c r="G499" s="18"/>
      <c r="H499" s="18"/>
      <c r="I499" s="18"/>
      <c r="J499" s="18"/>
      <c r="K499" s="53">
        <f t="shared" si="35"/>
        <v>187426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1787426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1787426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320000</v>
      </c>
      <c r="G501" s="204"/>
      <c r="H501" s="204"/>
      <c r="I501" s="204"/>
      <c r="J501" s="204"/>
      <c r="K501" s="205">
        <f t="shared" si="35"/>
        <v>320000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59426</v>
      </c>
      <c r="G502" s="18"/>
      <c r="H502" s="18"/>
      <c r="I502" s="18"/>
      <c r="J502" s="18"/>
      <c r="K502" s="53">
        <f t="shared" si="35"/>
        <v>59426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379426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379426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503515.26</v>
      </c>
      <c r="G521" s="18">
        <v>241955.15</v>
      </c>
      <c r="H521" s="18">
        <v>292417.88</v>
      </c>
      <c r="I521" s="18">
        <v>8190.82</v>
      </c>
      <c r="J521" s="18">
        <v>8535.4599999999991</v>
      </c>
      <c r="K521" s="18"/>
      <c r="L521" s="88">
        <f>SUM(F521:K521)</f>
        <v>1054614.57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2475</v>
      </c>
      <c r="G523" s="18"/>
      <c r="H523" s="18">
        <v>108692.44</v>
      </c>
      <c r="I523" s="18"/>
      <c r="J523" s="18"/>
      <c r="K523" s="18"/>
      <c r="L523" s="88">
        <f>SUM(F523:K523)</f>
        <v>111167.44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505990.26</v>
      </c>
      <c r="G524" s="108">
        <f t="shared" ref="G524:L524" si="36">SUM(G521:G523)</f>
        <v>241955.15</v>
      </c>
      <c r="H524" s="108">
        <f t="shared" si="36"/>
        <v>401110.32</v>
      </c>
      <c r="I524" s="108">
        <f t="shared" si="36"/>
        <v>8190.82</v>
      </c>
      <c r="J524" s="108">
        <f t="shared" si="36"/>
        <v>8535.4599999999991</v>
      </c>
      <c r="K524" s="108">
        <f t="shared" si="36"/>
        <v>0</v>
      </c>
      <c r="L524" s="89">
        <f t="shared" si="36"/>
        <v>1165782.01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279039.17</v>
      </c>
      <c r="G526" s="18">
        <v>133715.92000000001</v>
      </c>
      <c r="H526" s="18">
        <v>28994.49</v>
      </c>
      <c r="I526" s="18">
        <v>3590.33</v>
      </c>
      <c r="J526" s="18">
        <v>3123.24</v>
      </c>
      <c r="K526" s="18"/>
      <c r="L526" s="88">
        <f>SUM(F526:K526)</f>
        <v>448463.14999999997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279039.17</v>
      </c>
      <c r="G529" s="89">
        <f t="shared" ref="G529:L529" si="37">SUM(G526:G528)</f>
        <v>133715.92000000001</v>
      </c>
      <c r="H529" s="89">
        <f t="shared" si="37"/>
        <v>28994.49</v>
      </c>
      <c r="I529" s="89">
        <f t="shared" si="37"/>
        <v>3590.33</v>
      </c>
      <c r="J529" s="89">
        <f t="shared" si="37"/>
        <v>3123.24</v>
      </c>
      <c r="K529" s="89">
        <f t="shared" si="37"/>
        <v>0</v>
      </c>
      <c r="L529" s="89">
        <f t="shared" si="37"/>
        <v>448463.14999999997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86584</v>
      </c>
      <c r="G531" s="18">
        <v>34300.980000000003</v>
      </c>
      <c r="H531" s="18"/>
      <c r="I531" s="18"/>
      <c r="J531" s="18"/>
      <c r="K531" s="18"/>
      <c r="L531" s="88">
        <f>SUM(F531:K531)</f>
        <v>120884.98000000001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86584</v>
      </c>
      <c r="G534" s="89">
        <f t="shared" ref="G534:L534" si="38">SUM(G531:G533)</f>
        <v>34300.980000000003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120884.98000000001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2976</v>
      </c>
      <c r="I536" s="18"/>
      <c r="J536" s="18"/>
      <c r="K536" s="18"/>
      <c r="L536" s="88">
        <f>SUM(F536:K536)</f>
        <v>2976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29137.96</v>
      </c>
      <c r="I538" s="18"/>
      <c r="J538" s="18"/>
      <c r="K538" s="18"/>
      <c r="L538" s="88">
        <f>SUM(F538:K538)</f>
        <v>29137.96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32113.96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32113.96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85600.38</v>
      </c>
      <c r="I541" s="18"/>
      <c r="J541" s="18"/>
      <c r="K541" s="18"/>
      <c r="L541" s="88">
        <f>SUM(F541:K541)</f>
        <v>85600.38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31984.02</v>
      </c>
      <c r="I543" s="18"/>
      <c r="J543" s="18"/>
      <c r="K543" s="18"/>
      <c r="L543" s="88">
        <f>SUM(F543:K543)</f>
        <v>31984.02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117584.40000000001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117584.40000000001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871613.42999999993</v>
      </c>
      <c r="G545" s="89">
        <f t="shared" ref="G545:L545" si="41">G524+G529+G534+G539+G544</f>
        <v>409972.05</v>
      </c>
      <c r="H545" s="89">
        <f t="shared" si="41"/>
        <v>579803.17000000004</v>
      </c>
      <c r="I545" s="89">
        <f t="shared" si="41"/>
        <v>11781.15</v>
      </c>
      <c r="J545" s="89">
        <f t="shared" si="41"/>
        <v>11658.699999999999</v>
      </c>
      <c r="K545" s="89">
        <f t="shared" si="41"/>
        <v>0</v>
      </c>
      <c r="L545" s="89">
        <f t="shared" si="41"/>
        <v>1884828.4999999998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1054614.57</v>
      </c>
      <c r="G549" s="87">
        <f>L526</f>
        <v>448463.14999999997</v>
      </c>
      <c r="H549" s="87">
        <f>L531</f>
        <v>120884.98000000001</v>
      </c>
      <c r="I549" s="87">
        <f>L536</f>
        <v>2976</v>
      </c>
      <c r="J549" s="87">
        <f>L541</f>
        <v>85600.38</v>
      </c>
      <c r="K549" s="87">
        <f>SUM(F549:J549)</f>
        <v>1712539.08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111167.44</v>
      </c>
      <c r="G551" s="87">
        <f>L528</f>
        <v>0</v>
      </c>
      <c r="H551" s="87">
        <f>L533</f>
        <v>0</v>
      </c>
      <c r="I551" s="87">
        <f>L538</f>
        <v>29137.96</v>
      </c>
      <c r="J551" s="87">
        <f>L543</f>
        <v>31984.02</v>
      </c>
      <c r="K551" s="87">
        <f>SUM(F551:J551)</f>
        <v>172289.41999999998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1165782.01</v>
      </c>
      <c r="G552" s="89">
        <f t="shared" si="42"/>
        <v>448463.14999999997</v>
      </c>
      <c r="H552" s="89">
        <f t="shared" si="42"/>
        <v>120884.98000000001</v>
      </c>
      <c r="I552" s="89">
        <f t="shared" si="42"/>
        <v>32113.96</v>
      </c>
      <c r="J552" s="89">
        <f t="shared" si="42"/>
        <v>117584.40000000001</v>
      </c>
      <c r="K552" s="89">
        <f t="shared" si="42"/>
        <v>1884828.5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5543</v>
      </c>
      <c r="G562" s="18"/>
      <c r="H562" s="18"/>
      <c r="I562" s="18"/>
      <c r="J562" s="18"/>
      <c r="K562" s="18"/>
      <c r="L562" s="88">
        <f>SUM(F562:K562)</f>
        <v>5543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5543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5543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55077</v>
      </c>
      <c r="G567" s="18"/>
      <c r="H567" s="18"/>
      <c r="I567" s="18"/>
      <c r="J567" s="18"/>
      <c r="K567" s="18"/>
      <c r="L567" s="88">
        <f>SUM(F567:K567)</f>
        <v>55077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55077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55077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60620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60620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2708217.68</v>
      </c>
      <c r="I575" s="87">
        <f>SUM(F575:H575)</f>
        <v>2708217.68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62066.74</v>
      </c>
      <c r="I579" s="87">
        <f t="shared" si="47"/>
        <v>62066.74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304064.53000000003</v>
      </c>
      <c r="G580" s="18"/>
      <c r="H580" s="18"/>
      <c r="I580" s="87">
        <f t="shared" si="47"/>
        <v>304064.53000000003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35706.959999999999</v>
      </c>
      <c r="I582" s="87">
        <f t="shared" si="47"/>
        <v>35706.959999999999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269435.7</v>
      </c>
      <c r="I591" s="18"/>
      <c r="J591" s="18"/>
      <c r="K591" s="104">
        <f t="shared" ref="K591:K597" si="48">SUM(H591:J591)</f>
        <v>269435.7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85600.38</v>
      </c>
      <c r="I592" s="18"/>
      <c r="J592" s="18">
        <v>31984.02</v>
      </c>
      <c r="K592" s="104">
        <f t="shared" si="48"/>
        <v>117584.40000000001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5096.1400000000003</v>
      </c>
      <c r="I594" s="18"/>
      <c r="J594" s="18"/>
      <c r="K594" s="104">
        <f t="shared" si="48"/>
        <v>5096.1400000000003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5249.53</v>
      </c>
      <c r="I595" s="18"/>
      <c r="J595" s="18"/>
      <c r="K595" s="104">
        <f t="shared" si="48"/>
        <v>5249.53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365381.75000000006</v>
      </c>
      <c r="I598" s="108">
        <f>SUM(I591:I597)</f>
        <v>0</v>
      </c>
      <c r="J598" s="108">
        <f>SUM(J591:J597)</f>
        <v>31984.02</v>
      </c>
      <c r="K598" s="108">
        <f>SUM(K591:K597)</f>
        <v>397365.77000000008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67384.55</v>
      </c>
      <c r="I604" s="18"/>
      <c r="J604" s="18"/>
      <c r="K604" s="104">
        <f>SUM(H604:J604)</f>
        <v>67384.55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67384.55</v>
      </c>
      <c r="I605" s="108">
        <f>SUM(I602:I604)</f>
        <v>0</v>
      </c>
      <c r="J605" s="108">
        <f>SUM(J602:J604)</f>
        <v>0</v>
      </c>
      <c r="K605" s="108">
        <f>SUM(K602:K604)</f>
        <v>67384.55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13577.08</v>
      </c>
      <c r="G611" s="18"/>
      <c r="H611" s="18">
        <v>37467.879999999997</v>
      </c>
      <c r="I611" s="18"/>
      <c r="J611" s="18"/>
      <c r="K611" s="18"/>
      <c r="L611" s="88">
        <f>SUM(F611:K611)</f>
        <v>51044.959999999999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13577.08</v>
      </c>
      <c r="G614" s="108">
        <f t="shared" si="49"/>
        <v>0</v>
      </c>
      <c r="H614" s="108">
        <f t="shared" si="49"/>
        <v>37467.879999999997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51044.959999999999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450994.28</v>
      </c>
      <c r="H617" s="109">
        <f>SUM(F52)</f>
        <v>450994.28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3279.74</v>
      </c>
      <c r="H618" s="109">
        <f>SUM(G52)</f>
        <v>3279.74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16764.82</v>
      </c>
      <c r="H619" s="109">
        <f>SUM(H52)</f>
        <v>16764.82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250268.96</v>
      </c>
      <c r="H621" s="109">
        <f>SUM(J52)</f>
        <v>250268.96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448314.07</v>
      </c>
      <c r="H622" s="109">
        <f>F476</f>
        <v>448314.06999999844</v>
      </c>
      <c r="I622" s="121" t="s">
        <v>101</v>
      </c>
      <c r="J622" s="109">
        <f t="shared" ref="J622:J655" si="50">G622-H622</f>
        <v>1.57160684466362E-9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1994.29</v>
      </c>
      <c r="H623" s="109">
        <f>G476</f>
        <v>1994.2899999999936</v>
      </c>
      <c r="I623" s="121" t="s">
        <v>102</v>
      </c>
      <c r="J623" s="109">
        <f t="shared" si="50"/>
        <v>6.3664629124104977E-12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14084.61</v>
      </c>
      <c r="H624" s="109">
        <f>H476</f>
        <v>14084.61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250268.96</v>
      </c>
      <c r="H626" s="109">
        <f>J476</f>
        <v>250268.96000000002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10046561.41</v>
      </c>
      <c r="H627" s="104">
        <f>SUM(F468)</f>
        <v>10046561.41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94591.86</v>
      </c>
      <c r="H628" s="104">
        <f>SUM(G468)</f>
        <v>94591.86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68127.51999999999</v>
      </c>
      <c r="H629" s="104">
        <f>SUM(H468)</f>
        <v>68127.520000000004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125686.56</v>
      </c>
      <c r="H631" s="104">
        <f>SUM(J468)</f>
        <v>125686.56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10177444.209999999</v>
      </c>
      <c r="H632" s="104">
        <f>SUM(F472)</f>
        <v>10177444.210000001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58704.97</v>
      </c>
      <c r="H633" s="104">
        <f>SUM(H472)</f>
        <v>58704.97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39290.519999999997</v>
      </c>
      <c r="H634" s="104">
        <f>I369</f>
        <v>39290.519999999997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94591.859999999986</v>
      </c>
      <c r="H635" s="104">
        <f>SUM(G472)</f>
        <v>94591.86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125686.56</v>
      </c>
      <c r="H637" s="164">
        <f>SUM(J468)</f>
        <v>125686.56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274040.44</v>
      </c>
      <c r="H638" s="164">
        <f>SUM(J472)</f>
        <v>274040.44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250268.96</v>
      </c>
      <c r="H640" s="104">
        <f>SUM(G461)</f>
        <v>250268.96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250268.96</v>
      </c>
      <c r="H642" s="104">
        <f>SUM(I461)</f>
        <v>250268.96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1686.56</v>
      </c>
      <c r="H644" s="104">
        <f>H408</f>
        <v>1686.56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124000</v>
      </c>
      <c r="H645" s="104">
        <f>G408</f>
        <v>124000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125686.56</v>
      </c>
      <c r="H646" s="104">
        <f>L408</f>
        <v>125686.56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397365.77000000008</v>
      </c>
      <c r="H647" s="104">
        <f>L208+L226+L244</f>
        <v>397365.77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67384.55</v>
      </c>
      <c r="H648" s="104">
        <f>(J257+J338)-(J255+J336)</f>
        <v>67384.549999999988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365381.75</v>
      </c>
      <c r="H649" s="104">
        <f>H598</f>
        <v>365381.75000000006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31984.02</v>
      </c>
      <c r="H651" s="104">
        <f>J598</f>
        <v>31984.02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8771.86</v>
      </c>
      <c r="H652" s="104">
        <f>K263+K345</f>
        <v>8771.86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124000</v>
      </c>
      <c r="H655" s="104">
        <f>K266+K347</f>
        <v>124000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6828064.9299999997</v>
      </c>
      <c r="G660" s="19">
        <f>(L229+L309+L359)</f>
        <v>0</v>
      </c>
      <c r="H660" s="19">
        <f>(L247+L328+L360)</f>
        <v>2927563.37</v>
      </c>
      <c r="I660" s="19">
        <f>SUM(F660:H660)</f>
        <v>9755628.3000000007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69009.100000000006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69009.100000000006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365381.75</v>
      </c>
      <c r="G662" s="19">
        <f>(L226+L306)-(J226+J306)</f>
        <v>0</v>
      </c>
      <c r="H662" s="19">
        <f>(L244+L325)-(J244+J325)</f>
        <v>31984.02</v>
      </c>
      <c r="I662" s="19">
        <f>SUM(F662:H662)</f>
        <v>397365.77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422494.04000000004</v>
      </c>
      <c r="G663" s="199">
        <f>SUM(G575:G587)+SUM(I602:I604)+L612</f>
        <v>0</v>
      </c>
      <c r="H663" s="199">
        <f>SUM(H575:H587)+SUM(J602:J604)+L613</f>
        <v>2805991.3800000004</v>
      </c>
      <c r="I663" s="19">
        <f>SUM(F663:H663)</f>
        <v>3228485.4200000004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5971180.04</v>
      </c>
      <c r="G664" s="19">
        <f>G660-SUM(G661:G663)</f>
        <v>0</v>
      </c>
      <c r="H664" s="19">
        <f>H660-SUM(H661:H663)</f>
        <v>89587.969999999739</v>
      </c>
      <c r="I664" s="19">
        <f>I660-SUM(I661:I663)</f>
        <v>6060768.0099999998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418.25</v>
      </c>
      <c r="G665" s="248"/>
      <c r="H665" s="248"/>
      <c r="I665" s="19">
        <f>SUM(F665:H665)</f>
        <v>418.25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14276.58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14490.78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-89587.97</v>
      </c>
      <c r="I669" s="19">
        <f>SUM(F669:H669)</f>
        <v>-89587.97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14276.58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14276.58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Greenland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2038821.05</v>
      </c>
      <c r="C9" s="229">
        <f>'DOE25'!G197+'DOE25'!G215+'DOE25'!G233+'DOE25'!G276+'DOE25'!G295+'DOE25'!G314</f>
        <v>939597.03999999992</v>
      </c>
    </row>
    <row r="10" spans="1:3" x14ac:dyDescent="0.2">
      <c r="A10" t="s">
        <v>773</v>
      </c>
      <c r="B10" s="240">
        <v>1842359</v>
      </c>
      <c r="C10" s="240">
        <v>849056.89</v>
      </c>
    </row>
    <row r="11" spans="1:3" x14ac:dyDescent="0.2">
      <c r="A11" t="s">
        <v>774</v>
      </c>
      <c r="B11" s="240">
        <v>126495.01</v>
      </c>
      <c r="C11" s="240">
        <v>58295.62</v>
      </c>
    </row>
    <row r="12" spans="1:3" x14ac:dyDescent="0.2">
      <c r="A12" t="s">
        <v>775</v>
      </c>
      <c r="B12" s="240">
        <v>69967.039999999994</v>
      </c>
      <c r="C12" s="240">
        <v>32244.53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2038821.05</v>
      </c>
      <c r="C13" s="231">
        <f>SUM(C10:C12)</f>
        <v>939597.04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592574.26</v>
      </c>
      <c r="C18" s="229">
        <f>'DOE25'!G198+'DOE25'!G216+'DOE25'!G234+'DOE25'!G277+'DOE25'!G296+'DOE25'!G315</f>
        <v>274152.90000000002</v>
      </c>
    </row>
    <row r="19" spans="1:3" x14ac:dyDescent="0.2">
      <c r="A19" t="s">
        <v>773</v>
      </c>
      <c r="B19" s="240">
        <v>365391</v>
      </c>
      <c r="C19" s="240">
        <v>169047.17</v>
      </c>
    </row>
    <row r="20" spans="1:3" x14ac:dyDescent="0.2">
      <c r="A20" t="s">
        <v>774</v>
      </c>
      <c r="B20" s="240">
        <v>224708.26</v>
      </c>
      <c r="C20" s="240">
        <v>103960.68</v>
      </c>
    </row>
    <row r="21" spans="1:3" x14ac:dyDescent="0.2">
      <c r="A21" t="s">
        <v>775</v>
      </c>
      <c r="B21" s="240">
        <v>2475</v>
      </c>
      <c r="C21" s="240">
        <v>1145.05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592574.26</v>
      </c>
      <c r="C22" s="231">
        <f>SUM(C19:C21)</f>
        <v>274152.89999999997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50599.08</v>
      </c>
      <c r="C36" s="235">
        <f>'DOE25'!G200+'DOE25'!G218+'DOE25'!G236+'DOE25'!G279+'DOE25'!G298+'DOE25'!G317</f>
        <v>3956.89</v>
      </c>
    </row>
    <row r="37" spans="1:3" x14ac:dyDescent="0.2">
      <c r="A37" t="s">
        <v>773</v>
      </c>
      <c r="B37" s="240">
        <v>11880</v>
      </c>
      <c r="C37" s="240">
        <v>929.03</v>
      </c>
    </row>
    <row r="38" spans="1:3" x14ac:dyDescent="0.2">
      <c r="A38" t="s">
        <v>774</v>
      </c>
      <c r="B38" s="240">
        <v>7069.08</v>
      </c>
      <c r="C38" s="240">
        <v>552.80999999999995</v>
      </c>
    </row>
    <row r="39" spans="1:3" x14ac:dyDescent="0.2">
      <c r="A39" t="s">
        <v>775</v>
      </c>
      <c r="B39" s="240">
        <v>31650</v>
      </c>
      <c r="C39" s="240">
        <v>2475.0500000000002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50599.08</v>
      </c>
      <c r="C40" s="231">
        <f>SUM(C37:C39)</f>
        <v>3956.8900000000003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Greenland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7147530.0099999998</v>
      </c>
      <c r="D5" s="20">
        <f>SUM('DOE25'!L197:L200)+SUM('DOE25'!L215:L218)+SUM('DOE25'!L233:L236)-F5-G5</f>
        <v>7132873.0099999998</v>
      </c>
      <c r="E5" s="243"/>
      <c r="F5" s="255">
        <f>SUM('DOE25'!J197:J200)+SUM('DOE25'!J215:J218)+SUM('DOE25'!J233:J236)</f>
        <v>14657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444385.41</v>
      </c>
      <c r="D6" s="20">
        <f>'DOE25'!L202+'DOE25'!L220+'DOE25'!L238-F6-G6</f>
        <v>441262.17</v>
      </c>
      <c r="E6" s="243"/>
      <c r="F6" s="255">
        <f>'DOE25'!J202+'DOE25'!J220+'DOE25'!J238</f>
        <v>3123.24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207820.37999999998</v>
      </c>
      <c r="D7" s="20">
        <f>'DOE25'!L203+'DOE25'!L221+'DOE25'!L239-F7-G7</f>
        <v>158673.06999999998</v>
      </c>
      <c r="E7" s="243"/>
      <c r="F7" s="255">
        <f>'DOE25'!J203+'DOE25'!J221+'DOE25'!J239</f>
        <v>48626.31</v>
      </c>
      <c r="G7" s="53">
        <f>'DOE25'!K203+'DOE25'!K221+'DOE25'!K239</f>
        <v>521</v>
      </c>
      <c r="H7" s="259"/>
    </row>
    <row r="8" spans="1:9" x14ac:dyDescent="0.2">
      <c r="A8" s="32">
        <v>2300</v>
      </c>
      <c r="B8" t="s">
        <v>796</v>
      </c>
      <c r="C8" s="245">
        <f t="shared" si="0"/>
        <v>302794.15999999997</v>
      </c>
      <c r="D8" s="243"/>
      <c r="E8" s="20">
        <f>'DOE25'!L204+'DOE25'!L222+'DOE25'!L240-F8-G8-D9-D11</f>
        <v>296246.36</v>
      </c>
      <c r="F8" s="255">
        <f>'DOE25'!J204+'DOE25'!J222+'DOE25'!J240</f>
        <v>0</v>
      </c>
      <c r="G8" s="53">
        <f>'DOE25'!K204+'DOE25'!K222+'DOE25'!K240</f>
        <v>6547.8</v>
      </c>
      <c r="H8" s="259"/>
    </row>
    <row r="9" spans="1:9" x14ac:dyDescent="0.2">
      <c r="A9" s="32">
        <v>2310</v>
      </c>
      <c r="B9" t="s">
        <v>812</v>
      </c>
      <c r="C9" s="245">
        <f t="shared" si="0"/>
        <v>63828.49</v>
      </c>
      <c r="D9" s="244">
        <v>63828.49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7050</v>
      </c>
      <c r="D10" s="243"/>
      <c r="E10" s="244">
        <v>7050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103941</v>
      </c>
      <c r="D11" s="244">
        <v>103941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382068.86</v>
      </c>
      <c r="D12" s="20">
        <f>'DOE25'!L205+'DOE25'!L223+'DOE25'!L241-F12-G12</f>
        <v>380649.86</v>
      </c>
      <c r="E12" s="243"/>
      <c r="F12" s="255">
        <f>'DOE25'!J205+'DOE25'!J223+'DOE25'!J241</f>
        <v>0</v>
      </c>
      <c r="G12" s="53">
        <f>'DOE25'!K205+'DOE25'!K223+'DOE25'!K241</f>
        <v>1419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5373.02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5373.02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526695</v>
      </c>
      <c r="D14" s="20">
        <f>'DOE25'!L207+'DOE25'!L225+'DOE25'!L243-F14-G14</f>
        <v>525717</v>
      </c>
      <c r="E14" s="243"/>
      <c r="F14" s="255">
        <f>'DOE25'!J207+'DOE25'!J225+'DOE25'!J243</f>
        <v>978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397365.77</v>
      </c>
      <c r="D15" s="20">
        <f>'DOE25'!L208+'DOE25'!L226+'DOE25'!L244-F15-G15</f>
        <v>397365.77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20529.37</v>
      </c>
      <c r="D16" s="243"/>
      <c r="E16" s="20">
        <f>'DOE25'!L209+'DOE25'!L227+'DOE25'!L245-F16-G16</f>
        <v>20529.37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46776.88</v>
      </c>
      <c r="D22" s="243"/>
      <c r="E22" s="243"/>
      <c r="F22" s="255">
        <f>'DOE25'!L255+'DOE25'!L336</f>
        <v>46776.88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395564</v>
      </c>
      <c r="D25" s="243"/>
      <c r="E25" s="243"/>
      <c r="F25" s="258"/>
      <c r="G25" s="256"/>
      <c r="H25" s="257">
        <f>'DOE25'!L260+'DOE25'!L261+'DOE25'!L341+'DOE25'!L342</f>
        <v>395564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57243.679999999986</v>
      </c>
      <c r="D29" s="20">
        <f>'DOE25'!L358+'DOE25'!L359+'DOE25'!L360-'DOE25'!I367-F29-G29</f>
        <v>50249.679999999986</v>
      </c>
      <c r="E29" s="243"/>
      <c r="F29" s="255">
        <f>'DOE25'!J358+'DOE25'!J359+'DOE25'!J360</f>
        <v>6994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58704.97</v>
      </c>
      <c r="D31" s="20">
        <f>'DOE25'!L290+'DOE25'!L309+'DOE25'!L328+'DOE25'!L333+'DOE25'!L334+'DOE25'!L335-F31-G31</f>
        <v>54374.23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4330.74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9308934.2800000012</v>
      </c>
      <c r="E33" s="246">
        <f>SUM(E5:E31)</f>
        <v>323825.73</v>
      </c>
      <c r="F33" s="246">
        <f>SUM(F5:F31)</f>
        <v>121155.43</v>
      </c>
      <c r="G33" s="246">
        <f>SUM(G5:G31)</f>
        <v>18191.559999999998</v>
      </c>
      <c r="H33" s="246">
        <f>SUM(H5:H31)</f>
        <v>395564</v>
      </c>
    </row>
    <row r="35" spans="2:8" ht="12" thickBot="1" x14ac:dyDescent="0.25">
      <c r="B35" s="253" t="s">
        <v>841</v>
      </c>
      <c r="D35" s="254">
        <f>E33</f>
        <v>323825.73</v>
      </c>
      <c r="E35" s="249"/>
    </row>
    <row r="36" spans="2:8" ht="12" thickTop="1" x14ac:dyDescent="0.2">
      <c r="B36" t="s">
        <v>809</v>
      </c>
      <c r="D36" s="20">
        <f>D33</f>
        <v>9308934.2800000012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dataConsolidate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445702.33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226268.96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1285.45</v>
      </c>
      <c r="D11" s="95">
        <f>'DOE25'!G12</f>
        <v>0</v>
      </c>
      <c r="E11" s="95">
        <f>'DOE25'!H12</f>
        <v>14084.61</v>
      </c>
      <c r="F11" s="95">
        <f>'DOE25'!I12</f>
        <v>0</v>
      </c>
      <c r="G11" s="95">
        <f>'DOE25'!J12</f>
        <v>24000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4006.5</v>
      </c>
      <c r="D12" s="95">
        <f>'DOE25'!G13</f>
        <v>1285.45</v>
      </c>
      <c r="E12" s="95">
        <f>'DOE25'!H13</f>
        <v>2680.21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1994.29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450994.28</v>
      </c>
      <c r="D18" s="41">
        <f>SUM(D8:D17)</f>
        <v>3279.74</v>
      </c>
      <c r="E18" s="41">
        <f>SUM(E8:E17)</f>
        <v>16764.82</v>
      </c>
      <c r="F18" s="41">
        <f>SUM(F8:F17)</f>
        <v>0</v>
      </c>
      <c r="G18" s="41">
        <f>SUM(G8:G17)</f>
        <v>250268.96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2680.21</v>
      </c>
      <c r="D21" s="95">
        <f>'DOE25'!G22</f>
        <v>1285.45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2680.21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2680.21</v>
      </c>
      <c r="D31" s="41">
        <f>SUM(D21:D30)</f>
        <v>1285.45</v>
      </c>
      <c r="E31" s="41">
        <f>SUM(E21:E30)</f>
        <v>2680.21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1994.29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14084.61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223380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250268.96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29382.52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120551.55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448314.07</v>
      </c>
      <c r="D50" s="41">
        <f>SUM(D34:D49)</f>
        <v>1994.29</v>
      </c>
      <c r="E50" s="41">
        <f>SUM(E34:E49)</f>
        <v>14084.61</v>
      </c>
      <c r="F50" s="41">
        <f>SUM(F34:F49)</f>
        <v>0</v>
      </c>
      <c r="G50" s="41">
        <f>SUM(G34:G49)</f>
        <v>250268.96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450994.28</v>
      </c>
      <c r="D51" s="41">
        <f>D50+D31</f>
        <v>3279.74</v>
      </c>
      <c r="E51" s="41">
        <f>E50+E31</f>
        <v>16764.82</v>
      </c>
      <c r="F51" s="41">
        <f>F50+F31</f>
        <v>0</v>
      </c>
      <c r="G51" s="41">
        <f>G50+G31</f>
        <v>250268.96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7287256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4216.8999999999996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1686.56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69009.100000000006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104135.81</v>
      </c>
      <c r="D61" s="95">
        <f>SUM('DOE25'!G98:G110)</f>
        <v>0</v>
      </c>
      <c r="E61" s="95">
        <f>SUM('DOE25'!H98:H110)</f>
        <v>29359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108352.70999999999</v>
      </c>
      <c r="D62" s="130">
        <f>SUM(D57:D61)</f>
        <v>69009.100000000006</v>
      </c>
      <c r="E62" s="130">
        <f>SUM(E57:E61)</f>
        <v>29359</v>
      </c>
      <c r="F62" s="130">
        <f>SUM(F57:F61)</f>
        <v>0</v>
      </c>
      <c r="G62" s="130">
        <f>SUM(G57:G61)</f>
        <v>1686.56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7395608.71</v>
      </c>
      <c r="D63" s="22">
        <f>D56+D62</f>
        <v>69009.100000000006</v>
      </c>
      <c r="E63" s="22">
        <f>E56+E62</f>
        <v>29359</v>
      </c>
      <c r="F63" s="22">
        <f>F56+F62</f>
        <v>0</v>
      </c>
      <c r="G63" s="22">
        <f>G56+G62</f>
        <v>1686.56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510291.1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1647928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3483.85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2161702.9500000002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105464.42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72104.800000000003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1261.6500000000001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177569.22</v>
      </c>
      <c r="D78" s="130">
        <f>SUM(D72:D77)</f>
        <v>1261.6500000000001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2339272.1700000004</v>
      </c>
      <c r="D81" s="130">
        <f>SUM(D79:D80)+D78+D70</f>
        <v>1261.6500000000001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37640.089999999997</v>
      </c>
      <c r="D88" s="95">
        <f>SUM('DOE25'!G153:G161)</f>
        <v>15549.25</v>
      </c>
      <c r="E88" s="95">
        <f>SUM('DOE25'!H153:H161)</f>
        <v>38768.519999999997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37640.089999999997</v>
      </c>
      <c r="D91" s="131">
        <f>SUM(D85:D90)</f>
        <v>15549.25</v>
      </c>
      <c r="E91" s="131">
        <f>SUM(E85:E90)</f>
        <v>38768.519999999997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8771.86</v>
      </c>
      <c r="E96" s="95">
        <f>'DOE25'!H179</f>
        <v>0</v>
      </c>
      <c r="F96" s="95">
        <f>'DOE25'!I179</f>
        <v>0</v>
      </c>
      <c r="G96" s="95">
        <f>'DOE25'!J179</f>
        <v>124000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274040.44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274040.44</v>
      </c>
      <c r="D103" s="86">
        <f>SUM(D93:D102)</f>
        <v>8771.86</v>
      </c>
      <c r="E103" s="86">
        <f>SUM(E93:E102)</f>
        <v>0</v>
      </c>
      <c r="F103" s="86">
        <f>SUM(F93:F102)</f>
        <v>0</v>
      </c>
      <c r="G103" s="86">
        <f>SUM(G93:G102)</f>
        <v>124000</v>
      </c>
    </row>
    <row r="104" spans="1:7" ht="12.75" thickTop="1" thickBot="1" x14ac:dyDescent="0.25">
      <c r="A104" s="33" t="s">
        <v>759</v>
      </c>
      <c r="C104" s="86">
        <f>C63+C81+C91+C103</f>
        <v>10046561.41</v>
      </c>
      <c r="D104" s="86">
        <f>D63+D81+D91+D103</f>
        <v>94591.86</v>
      </c>
      <c r="E104" s="86">
        <f>E63+E81+E91+E103</f>
        <v>68127.51999999999</v>
      </c>
      <c r="F104" s="86">
        <f>F63+F81+F91+F103</f>
        <v>0</v>
      </c>
      <c r="G104" s="86">
        <f>G63+G81+G103</f>
        <v>125686.56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5729791.9000000004</v>
      </c>
      <c r="D109" s="24" t="s">
        <v>286</v>
      </c>
      <c r="E109" s="95">
        <f>('DOE25'!L276)+('DOE25'!L295)+('DOE25'!L314)</f>
        <v>26041.660000000003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1316677.72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101060.39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7147530.0099999998</v>
      </c>
      <c r="D115" s="86">
        <f>SUM(D109:D114)</f>
        <v>0</v>
      </c>
      <c r="E115" s="86">
        <f>SUM(E109:E114)</f>
        <v>26041.660000000003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444385.41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207820.37999999998</v>
      </c>
      <c r="D119" s="24" t="s">
        <v>286</v>
      </c>
      <c r="E119" s="95">
        <f>+('DOE25'!L282)+('DOE25'!L301)+('DOE25'!L320)</f>
        <v>32663.31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470563.64999999997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382068.86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5373.02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526695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397365.77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20529.37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94591.859999999986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2454801.46</v>
      </c>
      <c r="D128" s="86">
        <f>SUM(D118:D127)</f>
        <v>94591.859999999986</v>
      </c>
      <c r="E128" s="86">
        <f>SUM(E118:E127)</f>
        <v>32663.31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46776.88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320000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75564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274040.44</v>
      </c>
    </row>
    <row r="135" spans="1:7" x14ac:dyDescent="0.2">
      <c r="A135" t="s">
        <v>233</v>
      </c>
      <c r="B135" s="32" t="s">
        <v>234</v>
      </c>
      <c r="C135" s="95">
        <f>'DOE25'!L263</f>
        <v>8771.86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125686.56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-1686.5599999999977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575112.74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274040.44</v>
      </c>
    </row>
    <row r="145" spans="1:9" ht="12.75" thickTop="1" thickBot="1" x14ac:dyDescent="0.25">
      <c r="A145" s="33" t="s">
        <v>244</v>
      </c>
      <c r="C145" s="86">
        <f>(C115+C128+C144)</f>
        <v>10177444.209999999</v>
      </c>
      <c r="D145" s="86">
        <f>(D115+D128+D144)</f>
        <v>94591.859999999986</v>
      </c>
      <c r="E145" s="86">
        <f>(E115+E128+E144)</f>
        <v>58704.97</v>
      </c>
      <c r="F145" s="86">
        <f>(F115+F128+F144)</f>
        <v>0</v>
      </c>
      <c r="G145" s="86">
        <f>(G115+G128+G144)</f>
        <v>274040.44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6473515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4.4400000000000004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1920000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320000</v>
      </c>
    </row>
    <row r="159" spans="1:9" x14ac:dyDescent="0.2">
      <c r="A159" s="22" t="s">
        <v>35</v>
      </c>
      <c r="B159" s="137">
        <f>'DOE25'!F498</f>
        <v>1600000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1600000</v>
      </c>
    </row>
    <row r="160" spans="1:9" x14ac:dyDescent="0.2">
      <c r="A160" s="22" t="s">
        <v>36</v>
      </c>
      <c r="B160" s="137">
        <f>'DOE25'!F499</f>
        <v>187426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187426</v>
      </c>
    </row>
    <row r="161" spans="1:7" x14ac:dyDescent="0.2">
      <c r="A161" s="22" t="s">
        <v>37</v>
      </c>
      <c r="B161" s="137">
        <f>'DOE25'!F500</f>
        <v>1787426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1787426</v>
      </c>
    </row>
    <row r="162" spans="1:7" x14ac:dyDescent="0.2">
      <c r="A162" s="22" t="s">
        <v>38</v>
      </c>
      <c r="B162" s="137">
        <f>'DOE25'!F501</f>
        <v>320000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320000</v>
      </c>
    </row>
    <row r="163" spans="1:7" x14ac:dyDescent="0.2">
      <c r="A163" s="22" t="s">
        <v>39</v>
      </c>
      <c r="B163" s="137">
        <f>'DOE25'!F502</f>
        <v>59426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59426</v>
      </c>
    </row>
    <row r="164" spans="1:7" x14ac:dyDescent="0.2">
      <c r="A164" s="22" t="s">
        <v>246</v>
      </c>
      <c r="B164" s="137">
        <f>'DOE25'!F503</f>
        <v>379426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379426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Greenland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14277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14277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5755834</v>
      </c>
      <c r="D10" s="182">
        <f>ROUND((C10/$C$28)*100,1)</f>
        <v>59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1316678</v>
      </c>
      <c r="D11" s="182">
        <f>ROUND((C11/$C$28)*100,1)</f>
        <v>13.5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101060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444385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240484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491093</v>
      </c>
      <c r="D17" s="182">
        <f t="shared" si="0"/>
        <v>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382069</v>
      </c>
      <c r="D18" s="182">
        <f t="shared" si="0"/>
        <v>3.9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5373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526695</v>
      </c>
      <c r="D20" s="182">
        <f t="shared" si="0"/>
        <v>5.4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397366</v>
      </c>
      <c r="D21" s="182">
        <f t="shared" si="0"/>
        <v>4.0999999999999996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75564</v>
      </c>
      <c r="D25" s="182">
        <f t="shared" si="0"/>
        <v>0.8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25582.899999999994</v>
      </c>
      <c r="D27" s="182">
        <f t="shared" si="0"/>
        <v>0.3</v>
      </c>
    </row>
    <row r="28" spans="1:4" x14ac:dyDescent="0.2">
      <c r="B28" s="187" t="s">
        <v>717</v>
      </c>
      <c r="C28" s="180">
        <f>SUM(C10:C27)</f>
        <v>9762183.9000000004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46777</v>
      </c>
    </row>
    <row r="30" spans="1:4" x14ac:dyDescent="0.2">
      <c r="B30" s="187" t="s">
        <v>723</v>
      </c>
      <c r="C30" s="180">
        <f>SUM(C28:C29)</f>
        <v>9808960.9000000004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320000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7287256</v>
      </c>
      <c r="D35" s="182">
        <f t="shared" ref="D35:D40" si="1">ROUND((C35/$C$41)*100,1)</f>
        <v>73.900000000000006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139398.26999999955</v>
      </c>
      <c r="D36" s="182">
        <f t="shared" si="1"/>
        <v>1.4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2158219</v>
      </c>
      <c r="D37" s="182">
        <f t="shared" si="1"/>
        <v>21.9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182315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91958</v>
      </c>
      <c r="D39" s="182">
        <f t="shared" si="1"/>
        <v>0.9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9859146.2699999996</v>
      </c>
      <c r="D41" s="184">
        <f>SUM(D35:D40)</f>
        <v>99.90000000000002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Greenland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2018-10-10T14:41:05Z</cp:lastPrinted>
  <dcterms:created xsi:type="dcterms:W3CDTF">1997-12-04T19:04:30Z</dcterms:created>
  <dcterms:modified xsi:type="dcterms:W3CDTF">2018-11-13T19:45:59Z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