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32865" yWindow="1500" windowWidth="32460" windowHeight="169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C21" i="12" l="1"/>
  <c r="C20" i="12"/>
  <c r="B20" i="12"/>
  <c r="B19" i="12"/>
  <c r="C11" i="12"/>
  <c r="C12" i="12"/>
  <c r="H255" i="1" l="1"/>
  <c r="H207" i="1"/>
  <c r="G531" i="1"/>
  <c r="G526" i="1"/>
  <c r="G521" i="1"/>
  <c r="G562" i="1" l="1"/>
  <c r="G197" i="1" l="1"/>
  <c r="G205" i="1"/>
  <c r="G203" i="1"/>
  <c r="F29" i="1" l="1"/>
  <c r="F9" i="1"/>
  <c r="H604" i="1" l="1"/>
  <c r="H531" i="1"/>
  <c r="H521" i="1"/>
  <c r="I521" i="1"/>
  <c r="F531" i="1"/>
  <c r="K283" i="1"/>
  <c r="K261" i="1"/>
  <c r="I468" i="1" l="1"/>
  <c r="I96" i="1"/>
  <c r="H380" i="1"/>
  <c r="G502" i="1" l="1"/>
  <c r="G499" i="1"/>
  <c r="H591" i="1"/>
  <c r="F368" i="1" l="1"/>
  <c r="I358" i="1"/>
  <c r="H358" i="1"/>
  <c r="F358" i="1"/>
  <c r="J96" i="1"/>
  <c r="H397" i="1"/>
  <c r="J468" i="1"/>
  <c r="G97" i="1"/>
  <c r="G158" i="1"/>
  <c r="H159" i="1" l="1"/>
  <c r="H155" i="1"/>
  <c r="H154" i="1"/>
  <c r="F5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G662" i="1" s="1"/>
  <c r="L244" i="1"/>
  <c r="F17" i="13"/>
  <c r="G17" i="13"/>
  <c r="L251" i="1"/>
  <c r="F18" i="13"/>
  <c r="D18" i="13" s="1"/>
  <c r="C18" i="13" s="1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E111" i="2" s="1"/>
  <c r="L279" i="1"/>
  <c r="L281" i="1"/>
  <c r="E118" i="2" s="1"/>
  <c r="L282" i="1"/>
  <c r="L283" i="1"/>
  <c r="E120" i="2" s="1"/>
  <c r="L284" i="1"/>
  <c r="L285" i="1"/>
  <c r="E122" i="2" s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F94" i="1"/>
  <c r="F111" i="1"/>
  <c r="G111" i="1"/>
  <c r="H79" i="1"/>
  <c r="E57" i="2" s="1"/>
  <c r="E62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G147" i="1"/>
  <c r="G162" i="1"/>
  <c r="H147" i="1"/>
  <c r="H162" i="1"/>
  <c r="H169" i="1" s="1"/>
  <c r="I147" i="1"/>
  <c r="I162" i="1"/>
  <c r="I169" i="1" s="1"/>
  <c r="C18" i="10"/>
  <c r="L250" i="1"/>
  <c r="L332" i="1"/>
  <c r="L254" i="1"/>
  <c r="L268" i="1"/>
  <c r="C142" i="2" s="1"/>
  <c r="L269" i="1"/>
  <c r="L349" i="1"/>
  <c r="L350" i="1"/>
  <c r="I665" i="1"/>
  <c r="I670" i="1"/>
  <c r="L247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L531" i="1"/>
  <c r="H549" i="1" s="1"/>
  <c r="H552" i="1" s="1"/>
  <c r="L532" i="1"/>
  <c r="H550" i="1" s="1"/>
  <c r="L533" i="1"/>
  <c r="H551" i="1" s="1"/>
  <c r="L536" i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C18" i="2" s="1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I457" i="1"/>
  <c r="J37" i="1" s="1"/>
  <c r="I459" i="1"/>
  <c r="J48" i="1" s="1"/>
  <c r="G47" i="2" s="1"/>
  <c r="C49" i="2"/>
  <c r="C56" i="2"/>
  <c r="F56" i="2"/>
  <c r="C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C112" i="2"/>
  <c r="E112" i="2"/>
  <c r="C113" i="2"/>
  <c r="E113" i="2"/>
  <c r="C114" i="2"/>
  <c r="D115" i="2"/>
  <c r="F115" i="2"/>
  <c r="G115" i="2"/>
  <c r="E119" i="2"/>
  <c r="C120" i="2"/>
  <c r="E121" i="2"/>
  <c r="C122" i="2"/>
  <c r="C123" i="2"/>
  <c r="E123" i="2"/>
  <c r="C124" i="2"/>
  <c r="E125" i="2"/>
  <c r="D127" i="2"/>
  <c r="D128" i="2" s="1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G452" i="1"/>
  <c r="G461" i="1" s="1"/>
  <c r="H640" i="1" s="1"/>
  <c r="H452" i="1"/>
  <c r="F460" i="1"/>
  <c r="G460" i="1"/>
  <c r="H460" i="1"/>
  <c r="F461" i="1"/>
  <c r="H461" i="1"/>
  <c r="F470" i="1"/>
  <c r="G470" i="1"/>
  <c r="G476" i="1" s="1"/>
  <c r="H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J571" i="1" s="1"/>
  <c r="K560" i="1"/>
  <c r="L562" i="1"/>
  <c r="L565" i="1" s="1"/>
  <c r="L563" i="1"/>
  <c r="L564" i="1"/>
  <c r="F565" i="1"/>
  <c r="F571" i="1" s="1"/>
  <c r="G565" i="1"/>
  <c r="H565" i="1"/>
  <c r="I565" i="1"/>
  <c r="J565" i="1"/>
  <c r="K565" i="1"/>
  <c r="K571" i="1" s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1" i="1"/>
  <c r="H641" i="1"/>
  <c r="J641" i="1" s="1"/>
  <c r="G643" i="1"/>
  <c r="G644" i="1"/>
  <c r="G645" i="1"/>
  <c r="H645" i="1"/>
  <c r="G649" i="1"/>
  <c r="G650" i="1"/>
  <c r="G651" i="1"/>
  <c r="J651" i="1" s="1"/>
  <c r="G652" i="1"/>
  <c r="H652" i="1"/>
  <c r="G653" i="1"/>
  <c r="H653" i="1"/>
  <c r="G654" i="1"/>
  <c r="H654" i="1"/>
  <c r="H655" i="1"/>
  <c r="F192" i="1"/>
  <c r="L328" i="1"/>
  <c r="A31" i="12"/>
  <c r="D15" i="13"/>
  <c r="C15" i="13" s="1"/>
  <c r="D17" i="13"/>
  <c r="C17" i="13" s="1"/>
  <c r="D6" i="13"/>
  <c r="C6" i="13" s="1"/>
  <c r="C91" i="2"/>
  <c r="D31" i="2"/>
  <c r="F18" i="2"/>
  <c r="E103" i="2"/>
  <c r="G62" i="2"/>
  <c r="D19" i="13"/>
  <c r="C19" i="13" s="1"/>
  <c r="E13" i="13"/>
  <c r="C13" i="13" s="1"/>
  <c r="E78" i="2"/>
  <c r="F112" i="1"/>
  <c r="J639" i="1"/>
  <c r="L433" i="1"/>
  <c r="J476" i="1"/>
  <c r="H626" i="1" s="1"/>
  <c r="F169" i="1"/>
  <c r="L401" i="1"/>
  <c r="C139" i="2" s="1"/>
  <c r="A13" i="12"/>
  <c r="H25" i="13"/>
  <c r="C25" i="13" s="1"/>
  <c r="H571" i="1"/>
  <c r="F552" i="1"/>
  <c r="L309" i="1"/>
  <c r="E16" i="13"/>
  <c r="J655" i="1"/>
  <c r="J645" i="1"/>
  <c r="I571" i="1"/>
  <c r="G36" i="2"/>
  <c r="H33" i="13"/>
  <c r="A40" i="12" l="1"/>
  <c r="F22" i="13"/>
  <c r="C22" i="13" s="1"/>
  <c r="C125" i="2"/>
  <c r="G257" i="1"/>
  <c r="G271" i="1" s="1"/>
  <c r="L229" i="1"/>
  <c r="C11" i="10"/>
  <c r="H52" i="1"/>
  <c r="H619" i="1" s="1"/>
  <c r="J619" i="1" s="1"/>
  <c r="J617" i="1"/>
  <c r="J545" i="1"/>
  <c r="H545" i="1"/>
  <c r="K545" i="1"/>
  <c r="I545" i="1"/>
  <c r="L534" i="1"/>
  <c r="K257" i="1"/>
  <c r="K271" i="1" s="1"/>
  <c r="C13" i="10"/>
  <c r="C10" i="10"/>
  <c r="C132" i="2"/>
  <c r="C32" i="10"/>
  <c r="C17" i="10"/>
  <c r="C118" i="2"/>
  <c r="D7" i="13"/>
  <c r="C7" i="13" s="1"/>
  <c r="D14" i="13"/>
  <c r="C14" i="13" s="1"/>
  <c r="F662" i="1"/>
  <c r="H647" i="1"/>
  <c r="C115" i="2"/>
  <c r="J257" i="1"/>
  <c r="J271" i="1" s="1"/>
  <c r="I257" i="1"/>
  <c r="I271" i="1" s="1"/>
  <c r="D5" i="13"/>
  <c r="C5" i="13" s="1"/>
  <c r="F476" i="1"/>
  <c r="H622" i="1" s="1"/>
  <c r="J622" i="1" s="1"/>
  <c r="I476" i="1"/>
  <c r="H625" i="1" s="1"/>
  <c r="I52" i="1"/>
  <c r="H620" i="1" s="1"/>
  <c r="G164" i="2"/>
  <c r="G157" i="2"/>
  <c r="K598" i="1"/>
  <c r="G647" i="1" s="1"/>
  <c r="J649" i="1"/>
  <c r="J623" i="1"/>
  <c r="H476" i="1"/>
  <c r="H624" i="1" s="1"/>
  <c r="J624" i="1" s="1"/>
  <c r="H661" i="1"/>
  <c r="J644" i="1"/>
  <c r="D91" i="2"/>
  <c r="D81" i="2"/>
  <c r="C35" i="10"/>
  <c r="C70" i="2"/>
  <c r="J640" i="1"/>
  <c r="J634" i="1"/>
  <c r="C16" i="13"/>
  <c r="L256" i="1"/>
  <c r="F257" i="1"/>
  <c r="F271" i="1" s="1"/>
  <c r="H257" i="1"/>
  <c r="H271" i="1" s="1"/>
  <c r="C161" i="2"/>
  <c r="G161" i="2" s="1"/>
  <c r="K500" i="1"/>
  <c r="F130" i="2"/>
  <c r="F144" i="2" s="1"/>
  <c r="F145" i="2" s="1"/>
  <c r="E128" i="2"/>
  <c r="E115" i="2"/>
  <c r="L544" i="1"/>
  <c r="G545" i="1"/>
  <c r="L419" i="1"/>
  <c r="F78" i="2"/>
  <c r="F81" i="2" s="1"/>
  <c r="I549" i="1"/>
  <c r="L539" i="1"/>
  <c r="G551" i="1"/>
  <c r="K551" i="1" s="1"/>
  <c r="L529" i="1"/>
  <c r="K550" i="1"/>
  <c r="C29" i="10"/>
  <c r="L351" i="1"/>
  <c r="J647" i="1"/>
  <c r="L524" i="1"/>
  <c r="J43" i="1"/>
  <c r="I460" i="1"/>
  <c r="D50" i="2"/>
  <c r="D51" i="2" s="1"/>
  <c r="E31" i="2"/>
  <c r="J23" i="1"/>
  <c r="G22" i="2" s="1"/>
  <c r="I452" i="1"/>
  <c r="I461" i="1" s="1"/>
  <c r="H642" i="1" s="1"/>
  <c r="D18" i="2"/>
  <c r="J552" i="1"/>
  <c r="E81" i="2"/>
  <c r="H660" i="1"/>
  <c r="D145" i="2"/>
  <c r="C121" i="2"/>
  <c r="C119" i="2"/>
  <c r="C78" i="2"/>
  <c r="C81" i="2" s="1"/>
  <c r="E56" i="2"/>
  <c r="E63" i="2" s="1"/>
  <c r="E132" i="2"/>
  <c r="H662" i="1"/>
  <c r="I662" i="1" s="1"/>
  <c r="G661" i="1"/>
  <c r="I661" i="1" s="1"/>
  <c r="L211" i="1"/>
  <c r="C16" i="10"/>
  <c r="L362" i="1"/>
  <c r="C27" i="10" s="1"/>
  <c r="H112" i="1"/>
  <c r="D29" i="13"/>
  <c r="C29" i="13" s="1"/>
  <c r="E8" i="13"/>
  <c r="C8" i="13" s="1"/>
  <c r="L290" i="1"/>
  <c r="L338" i="1" s="1"/>
  <c r="L352" i="1" s="1"/>
  <c r="G633" i="1" s="1"/>
  <c r="J633" i="1" s="1"/>
  <c r="C26" i="10"/>
  <c r="K503" i="1"/>
  <c r="L382" i="1"/>
  <c r="G636" i="1" s="1"/>
  <c r="J636" i="1" s="1"/>
  <c r="K338" i="1"/>
  <c r="K352" i="1" s="1"/>
  <c r="G81" i="2"/>
  <c r="C62" i="2"/>
  <c r="C63" i="2" s="1"/>
  <c r="G112" i="1"/>
  <c r="G625" i="1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G50" i="2"/>
  <c r="G51" i="2" s="1"/>
  <c r="H648" i="1"/>
  <c r="J648" i="1" s="1"/>
  <c r="J652" i="1"/>
  <c r="J642" i="1"/>
  <c r="G571" i="1"/>
  <c r="I434" i="1"/>
  <c r="G434" i="1"/>
  <c r="I663" i="1"/>
  <c r="E145" i="2" l="1"/>
  <c r="C128" i="2"/>
  <c r="C145" i="2" s="1"/>
  <c r="C28" i="10"/>
  <c r="D24" i="10" s="1"/>
  <c r="E33" i="13"/>
  <c r="D35" i="13" s="1"/>
  <c r="J625" i="1"/>
  <c r="I193" i="1"/>
  <c r="G630" i="1" s="1"/>
  <c r="J630" i="1" s="1"/>
  <c r="F104" i="2"/>
  <c r="F51" i="2"/>
  <c r="E51" i="2"/>
  <c r="G635" i="1"/>
  <c r="J635" i="1" s="1"/>
  <c r="G664" i="1"/>
  <c r="E104" i="2"/>
  <c r="C104" i="2"/>
  <c r="L408" i="1"/>
  <c r="L545" i="1"/>
  <c r="I552" i="1"/>
  <c r="K549" i="1"/>
  <c r="K552" i="1" s="1"/>
  <c r="G552" i="1"/>
  <c r="D31" i="13"/>
  <c r="C31" i="13" s="1"/>
  <c r="F660" i="1"/>
  <c r="H664" i="1"/>
  <c r="L257" i="1"/>
  <c r="L271" i="1" s="1"/>
  <c r="G632" i="1" s="1"/>
  <c r="J632" i="1" s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7" i="10"/>
  <c r="D26" i="10"/>
  <c r="D21" i="10"/>
  <c r="D13" i="10"/>
  <c r="D17" i="10"/>
  <c r="D22" i="10"/>
  <c r="D18" i="10"/>
  <c r="C30" i="10"/>
  <c r="D23" i="10"/>
  <c r="D10" i="10"/>
  <c r="D11" i="10"/>
  <c r="D16" i="10"/>
  <c r="D20" i="10"/>
  <c r="D15" i="10"/>
  <c r="D25" i="10"/>
  <c r="D19" i="10"/>
  <c r="D12" i="10"/>
  <c r="G667" i="1"/>
  <c r="G672" i="1"/>
  <c r="C5" i="10" s="1"/>
  <c r="F664" i="1"/>
  <c r="I660" i="1"/>
  <c r="I664" i="1" s="1"/>
  <c r="I672" i="1" s="1"/>
  <c r="C7" i="10" s="1"/>
  <c r="H667" i="1"/>
  <c r="H672" i="1"/>
  <c r="C6" i="10" s="1"/>
  <c r="G637" i="1"/>
  <c r="J637" i="1" s="1"/>
  <c r="H646" i="1"/>
  <c r="J646" i="1" s="1"/>
  <c r="C41" i="10"/>
  <c r="D38" i="10" s="1"/>
  <c r="D28" i="10" l="1"/>
  <c r="H656" i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rgb="FF000000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rgb="FF000000"/>
            <rFont val="Tahoma"/>
            <family val="2"/>
          </rPr>
          <t xml:space="preserve">Only report that amount raise from the Statewide Property  Tax.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G132" authorId="0">
      <text>
        <r>
          <rPr>
            <sz val="8"/>
            <color rgb="FF000000"/>
            <rFont val="Tahoma"/>
            <family val="2"/>
          </rPr>
          <t xml:space="preserve">Only report the state’s share of the revenue on this page.  Do not lump sum the state and federal revenues.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G158" authorId="0">
      <text>
        <r>
          <rPr>
            <sz val="8"/>
            <color rgb="FF000000"/>
            <rFont val="Tahoma"/>
            <family val="2"/>
          </rPr>
          <t xml:space="preserve">Only report the federal share of the revenue on this page.  Do not lump sum the 
</t>
        </r>
        <r>
          <rPr>
            <sz val="8"/>
            <color rgb="FF000000"/>
            <rFont val="Tahoma"/>
            <family val="2"/>
          </rPr>
          <t xml:space="preserve"> federal and state revenues. 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491" authorId="0">
      <text>
        <r>
          <rPr>
            <sz val="8"/>
            <color rgb="FF000000"/>
            <rFont val="Tahoma"/>
            <family val="2"/>
          </rPr>
          <t xml:space="preserve">Please use the Month slash Year Format.  For example: July 2001 = 07/01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rgb="FF000000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<sst xmlns="http://schemas.openxmlformats.org/spreadsheetml/2006/main" count="3962" uniqueCount="918">
  <si>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</si>
  <si>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</si>
  <si>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</si>
  <si>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</si>
  <si>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</si>
  <si>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</si>
  <si>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</si>
  <si>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</si>
  <si>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</si>
  <si>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</si>
  <si>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</si>
  <si>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</si>
  <si>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</si>
  <si>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</si>
  <si>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</si>
  <si>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</si>
  <si>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</si>
  <si>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</si>
  <si>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</si>
  <si>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</si>
  <si>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</si>
  <si>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</si>
  <si>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</si>
  <si>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</si>
  <si>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</si>
  <si>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</si>
  <si>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</si>
  <si>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</si>
  <si>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</si>
  <si>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</si>
  <si>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</si>
  <si>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</si>
  <si>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</si>
  <si>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</si>
  <si>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</si>
  <si>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</si>
  <si>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</si>
  <si>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</si>
  <si>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</si>
  <si>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</si>
  <si>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</si>
  <si>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</si>
  <si>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</si>
  <si>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</si>
  <si>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</si>
  <si>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</si>
  <si>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</si>
  <si>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</si>
  <si>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</si>
  <si>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</si>
  <si>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</si>
  <si>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</si>
  <si>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</si>
  <si>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</si>
  <si>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</si>
  <si>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</si>
  <si>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</si>
  <si>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</si>
  <si>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</si>
  <si>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</si>
  <si>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</si>
  <si>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</si>
  <si>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</si>
  <si>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</si>
  <si>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</si>
  <si>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</si>
  <si>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</si>
  <si>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</si>
  <si>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</si>
  <si>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</si>
  <si>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</si>
  <si>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</si>
  <si>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</si>
  <si>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</si>
  <si>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</si>
  <si>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</si>
  <si>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</si>
  <si>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</si>
  <si>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</si>
  <si>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</si>
  <si>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</si>
  <si>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</si>
  <si>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</si>
  <si>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</si>
  <si>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</si>
  <si>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</si>
  <si>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</si>
  <si>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</si>
  <si>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</si>
  <si>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</si>
  <si>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</si>
  <si>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</si>
  <si>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</si>
  <si>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</si>
  <si>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</si>
  <si>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</si>
  <si>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</si>
  <si>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</si>
  <si>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</si>
  <si>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</si>
  <si>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</si>
  <si>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</si>
  <si>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</si>
  <si>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</si>
  <si>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</si>
  <si>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</si>
  <si>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</si>
  <si>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</si>
  <si>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</si>
  <si>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</si>
  <si>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</si>
  <si>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</si>
  <si>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</si>
  <si>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</si>
  <si>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</si>
  <si>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</si>
  <si>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</si>
  <si>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</si>
  <si>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</si>
  <si>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</si>
  <si>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</si>
  <si>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</si>
  <si>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</si>
  <si>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</si>
  <si>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</si>
  <si>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</si>
  <si>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</si>
  <si>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</si>
  <si>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</si>
  <si>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</si>
  <si>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</si>
  <si>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</si>
  <si>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</si>
  <si>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</si>
  <si>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</si>
  <si>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</si>
  <si>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</si>
  <si>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</si>
  <si>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</si>
  <si>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</si>
  <si>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</si>
  <si>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</si>
  <si>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</si>
  <si>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</si>
  <si>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</si>
  <si>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</si>
  <si>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</si>
  <si>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</si>
  <si>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</si>
  <si>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</si>
  <si>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</si>
  <si>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</si>
  <si>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</si>
  <si>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</si>
  <si>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</si>
  <si>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</si>
  <si>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</si>
  <si>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</si>
  <si>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</si>
  <si>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</si>
  <si>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</si>
  <si>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</si>
  <si>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</si>
  <si>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</si>
  <si>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</si>
  <si>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</si>
  <si>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</si>
  <si>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</si>
  <si>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</si>
  <si>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</si>
  <si>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</si>
  <si>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</si>
  <si>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</si>
  <si>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</si>
  <si>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</si>
  <si>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</si>
  <si>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</si>
  <si>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</si>
  <si>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</si>
  <si>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</si>
  <si>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</si>
  <si>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</si>
  <si>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</si>
  <si>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</si>
  <si>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</si>
  <si>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</si>
  <si>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</si>
  <si>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</si>
  <si>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</si>
  <si>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</si>
  <si>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</si>
  <si>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</si>
  <si>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</si>
  <si>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</si>
  <si>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</si>
  <si>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</si>
  <si>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</si>
  <si>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</si>
  <si>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</si>
  <si>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</si>
  <si>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</si>
  <si>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</si>
  <si>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</si>
  <si>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</si>
  <si>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</si>
  <si>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</si>
  <si>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</si>
  <si>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</si>
  <si>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</si>
  <si>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</si>
  <si>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</si>
  <si>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</si>
  <si>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</si>
  <si>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</si>
  <si>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</si>
  <si>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</si>
  <si>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</si>
  <si>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</si>
  <si>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</si>
  <si>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</si>
  <si>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</si>
  <si>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</si>
  <si>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</si>
  <si>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</si>
  <si>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</si>
  <si>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</si>
  <si>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</si>
  <si>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</si>
  <si>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</si>
  <si>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</si>
  <si>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</si>
  <si>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</si>
  <si>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</si>
  <si>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</si>
  <si>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</si>
  <si>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</si>
  <si>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</si>
  <si>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</si>
  <si>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</si>
  <si>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</si>
  <si>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</si>
  <si>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</si>
  <si>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</si>
  <si>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</si>
  <si>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</si>
  <si>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</si>
  <si>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</si>
  <si>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</si>
  <si>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</si>
  <si>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</si>
  <si>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</si>
  <si>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</si>
  <si>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</si>
  <si>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</si>
  <si>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</si>
  <si>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</si>
  <si>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</si>
  <si>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</si>
  <si>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</si>
  <si>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</si>
  <si>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</si>
  <si>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</si>
  <si>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</si>
  <si>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</si>
  <si>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</si>
  <si>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</si>
  <si>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</si>
  <si>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</si>
  <si>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</si>
  <si>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</si>
  <si>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</si>
  <si>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</si>
  <si>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</si>
  <si>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</si>
  <si>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</si>
  <si>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</si>
  <si>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</si>
  <si>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</si>
  <si>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</si>
  <si>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</si>
  <si>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</si>
  <si>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</si>
  <si>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</si>
  <si>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</si>
  <si>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</si>
  <si>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</si>
  <si>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</si>
  <si>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</si>
  <si>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</si>
  <si>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</si>
  <si>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</si>
  <si>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</si>
  <si>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</si>
  <si>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</si>
  <si>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</si>
  <si>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</si>
  <si>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</si>
  <si>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</si>
  <si>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</si>
  <si>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</si>
  <si>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</si>
  <si>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</si>
  <si>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</si>
  <si>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</si>
  <si>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</si>
  <si>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</si>
  <si>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</si>
  <si>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</si>
  <si>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</si>
  <si>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</si>
  <si>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</si>
  <si>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</si>
  <si>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</si>
  <si>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</si>
  <si>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</si>
  <si>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</si>
  <si>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</si>
  <si>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</si>
  <si>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</si>
  <si>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</si>
  <si>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</si>
  <si>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</si>
  <si>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</si>
  <si>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</si>
  <si>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</si>
  <si>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</si>
  <si>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</si>
  <si>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</si>
  <si>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</si>
  <si>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</si>
  <si>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</si>
  <si>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</si>
  <si>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</si>
  <si>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</si>
  <si>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</si>
  <si>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</si>
  <si>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</si>
  <si>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</si>
  <si>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</si>
  <si>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</si>
  <si>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</si>
  <si>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</si>
  <si>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</si>
  <si>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</si>
  <si>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</si>
  <si>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</si>
  <si>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</si>
  <si>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</si>
  <si>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</si>
  <si>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</si>
  <si>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</si>
  <si>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</si>
  <si>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</si>
  <si>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</si>
  <si>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</si>
  <si>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</si>
  <si>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</si>
  <si>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</si>
  <si>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</si>
  <si>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</si>
  <si>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</si>
  <si>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</si>
  <si>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</si>
  <si>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</si>
  <si>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</si>
  <si>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</si>
  <si>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</si>
  <si>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</si>
  <si>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</si>
  <si>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</si>
  <si>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</si>
  <si>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</si>
  <si>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</si>
  <si>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</si>
  <si>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</si>
  <si>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</si>
  <si>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</si>
  <si>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</si>
  <si>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</si>
  <si>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</si>
  <si>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</si>
  <si>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</si>
  <si>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</si>
  <si>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</si>
  <si>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</si>
  <si>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</si>
  <si>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</si>
  <si>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</si>
  <si>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</si>
  <si>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</si>
  <si>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</si>
  <si>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</si>
  <si>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</si>
  <si>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</si>
  <si>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</si>
  <si>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</si>
  <si>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</si>
  <si>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</si>
  <si>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</si>
  <si>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</si>
  <si>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</si>
  <si>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</si>
  <si>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</si>
  <si>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</si>
  <si>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</si>
  <si>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</si>
  <si>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</si>
  <si>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</si>
  <si>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</si>
  <si>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</si>
  <si>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</si>
  <si>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</si>
  <si>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</si>
  <si>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</si>
  <si>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</si>
  <si>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</si>
  <si>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</si>
  <si>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</si>
  <si>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</si>
  <si>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</si>
  <si>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</si>
  <si>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</si>
  <si>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</si>
  <si>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</si>
  <si>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</si>
  <si>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</si>
  <si>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</si>
  <si>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</si>
  <si>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</si>
  <si>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</si>
  <si>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</si>
  <si>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</si>
  <si>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</si>
  <si>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</si>
  <si>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</si>
  <si>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</si>
  <si>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</si>
  <si>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</si>
  <si>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</si>
  <si>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</si>
  <si>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</si>
  <si>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</si>
  <si>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</si>
  <si>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</si>
  <si>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</si>
  <si>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</si>
  <si>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</si>
  <si>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</si>
  <si>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</si>
  <si>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</si>
  <si>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</si>
  <si>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</si>
  <si>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</si>
  <si>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</si>
  <si>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</si>
  <si>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</si>
  <si>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</si>
  <si>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</si>
  <si>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</si>
  <si>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</si>
  <si>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</si>
  <si>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</si>
  <si>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</si>
  <si>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</si>
  <si>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</si>
  <si>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</si>
  <si>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</si>
  <si>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</si>
  <si>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</si>
  <si>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</si>
  <si>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</si>
  <si>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</si>
  <si>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</si>
  <si>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</si>
  <si>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</si>
  <si>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</si>
  <si>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</si>
  <si>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</si>
  <si>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</si>
  <si>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</si>
  <si>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</si>
  <si>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</si>
  <si>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</si>
  <si>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</si>
  <si>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</si>
  <si>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</si>
  <si>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</si>
  <si>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</si>
  <si>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</si>
  <si>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</si>
  <si>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</si>
  <si>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</si>
  <si>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</si>
  <si>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</si>
  <si>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</si>
  <si>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</si>
  <si>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</si>
  <si>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</si>
  <si>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</si>
  <si>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</si>
  <si>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</si>
  <si>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</si>
  <si>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</si>
  <si>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</si>
  <si>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</si>
  <si>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</si>
  <si>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</si>
  <si>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</si>
  <si>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</si>
  <si>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</si>
  <si>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</si>
  <si>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</si>
  <si>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</si>
  <si>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</si>
  <si>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</si>
  <si>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</si>
  <si>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</si>
  <si>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</si>
  <si>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</si>
  <si>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</si>
  <si>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</si>
  <si>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</si>
  <si>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</si>
  <si>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</si>
  <si>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</si>
  <si>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</si>
  <si>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</si>
  <si>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</si>
  <si>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</si>
  <si>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</si>
  <si>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</si>
  <si>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</si>
  <si>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</si>
  <si>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</si>
  <si>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</si>
  <si>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</si>
  <si>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</si>
  <si>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</si>
  <si>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</si>
  <si>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</si>
  <si>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</si>
  <si>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</si>
  <si>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</si>
  <si>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</si>
  <si>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</si>
  <si>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</si>
  <si>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</si>
  <si>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</si>
  <si>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</si>
  <si>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</si>
  <si>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</si>
  <si>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</si>
  <si>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</si>
  <si>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</si>
  <si>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</si>
  <si>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</si>
  <si>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</si>
  <si>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</si>
  <si>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</si>
  <si>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</si>
  <si>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</si>
  <si>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</si>
  <si>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</si>
  <si>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</si>
  <si>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</si>
  <si>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</si>
  <si>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</si>
  <si>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</si>
  <si>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</si>
  <si>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</si>
  <si>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</si>
  <si>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</si>
  <si>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</si>
  <si>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</si>
  <si>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</si>
  <si>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</si>
  <si>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</si>
  <si>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</si>
  <si>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</si>
  <si>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</si>
  <si>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</si>
  <si>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</si>
  <si>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</si>
  <si>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</si>
  <si>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</si>
  <si>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</si>
  <si>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</si>
  <si>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</si>
  <si>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</si>
  <si>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</si>
  <si>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</si>
  <si>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</si>
  <si>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</si>
  <si>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</si>
  <si>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</si>
  <si>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</si>
  <si>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</si>
  <si>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</si>
  <si>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</si>
  <si>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</si>
  <si>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</si>
  <si>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</si>
  <si>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</si>
  <si>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</si>
  <si>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</si>
  <si>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</si>
  <si>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</si>
  <si>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</si>
  <si>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</si>
  <si>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</si>
  <si>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</si>
  <si>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</si>
  <si>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</si>
  <si>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</si>
  <si>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</si>
  <si>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</si>
  <si>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</si>
  <si>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</si>
  <si>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</si>
  <si>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</si>
  <si>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</si>
  <si>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</si>
  <si>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</si>
  <si>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</si>
  <si>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</si>
  <si>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</si>
  <si>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</si>
  <si>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</si>
  <si>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</si>
  <si>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</si>
  <si>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</si>
  <si>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</si>
  <si>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</si>
  <si>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</si>
  <si>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</si>
  <si>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</si>
  <si>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</si>
  <si>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</si>
  <si>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</si>
  <si>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</si>
  <si>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</si>
  <si>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</si>
  <si>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</si>
  <si>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</si>
  <si>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</si>
  <si>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</si>
  <si>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</si>
  <si>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</si>
  <si>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</si>
  <si>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</si>
  <si>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</si>
  <si>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</si>
  <si>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</si>
  <si>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</si>
  <si>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</si>
  <si>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</si>
  <si>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</si>
  <si>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</si>
  <si>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</si>
  <si>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</si>
  <si>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</si>
  <si>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</si>
  <si>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</si>
  <si>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</si>
  <si>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</si>
  <si>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</si>
  <si>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</si>
  <si>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</si>
  <si>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</si>
  <si>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</si>
  <si>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</si>
  <si>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</si>
  <si>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</si>
  <si>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</si>
  <si>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</si>
  <si>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</si>
  <si>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</si>
  <si>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</si>
  <si>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</si>
  <si>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</si>
  <si>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</si>
  <si>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</si>
  <si>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</si>
  <si>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</si>
  <si>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</si>
  <si>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</si>
  <si>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</si>
  <si>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</si>
  <si>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</si>
  <si>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</si>
  <si>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</si>
  <si>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</si>
  <si>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</si>
  <si>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</si>
  <si>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</si>
  <si>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</si>
  <si>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</si>
  <si>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</si>
  <si>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</si>
  <si>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</si>
  <si>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</si>
  <si>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</si>
  <si>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</si>
  <si>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</si>
  <si>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</si>
  <si>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</si>
  <si>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</si>
  <si>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</si>
  <si>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</si>
  <si>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</si>
  <si>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</si>
  <si>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</si>
  <si>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</si>
  <si>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</si>
  <si>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</si>
  <si>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</si>
  <si>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</si>
  <si>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</si>
  <si>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</si>
  <si>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</si>
  <si>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</si>
  <si>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</si>
  <si>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</si>
  <si>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</si>
  <si>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</si>
  <si>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</si>
  <si>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</si>
  <si>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</si>
  <si>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</si>
  <si>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</si>
  <si>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</si>
  <si>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</si>
  <si>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</si>
  <si>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</si>
  <si>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</si>
  <si>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</si>
  <si>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</si>
  <si>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</si>
  <si>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</si>
  <si>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</si>
  <si>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</si>
  <si>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</si>
  <si>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</si>
  <si>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</si>
  <si>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</si>
  <si>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</si>
  <si>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</si>
  <si>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</si>
  <si>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</si>
  <si>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</si>
  <si>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</si>
  <si>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</si>
  <si>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</si>
  <si>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</si>
  <si>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</si>
  <si>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</si>
  <si>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</si>
  <si>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</si>
  <si>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</si>
  <si>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</si>
  <si>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</si>
  <si>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</si>
  <si>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</si>
  <si>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</si>
  <si>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</si>
  <si>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</si>
  <si>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</si>
  <si>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</si>
  <si>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</si>
  <si>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</si>
  <si>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</si>
  <si>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</si>
  <si>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</si>
  <si>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</si>
  <si>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</si>
  <si>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</si>
  <si>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</si>
  <si>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</si>
  <si>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</si>
  <si>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</si>
  <si>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</si>
  <si>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</si>
  <si>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</si>
  <si>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</si>
  <si>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</si>
  <si>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</si>
  <si>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</si>
  <si>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</si>
  <si>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</si>
  <si>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</si>
  <si>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</si>
  <si>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</si>
  <si>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</si>
  <si>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</si>
  <si>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</si>
  <si>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</si>
  <si>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</si>
  <si>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</si>
  <si>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</si>
  <si>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</si>
  <si>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</si>
  <si>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</si>
  <si>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</si>
  <si>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</si>
  <si>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</si>
  <si>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</si>
  <si>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</si>
  <si>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</si>
  <si>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</si>
  <si>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</si>
  <si>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</si>
  <si>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</si>
  <si>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</si>
  <si>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</si>
  <si>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</si>
  <si>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</si>
  <si>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</si>
  <si>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</si>
  <si>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</si>
  <si>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</si>
  <si>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</si>
  <si>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</si>
  <si>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</si>
  <si>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</si>
  <si>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</si>
  <si>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</si>
  <si>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</si>
  <si>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</si>
  <si>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</si>
  <si>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</si>
  <si>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</si>
  <si>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</si>
  <si>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</si>
  <si>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</si>
  <si>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</si>
  <si>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</si>
  <si>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</si>
  <si>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</si>
  <si>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</si>
  <si>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</si>
  <si>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</si>
  <si>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</si>
  <si>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</si>
  <si>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</si>
  <si>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</si>
  <si>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</si>
  <si>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</si>
  <si>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</si>
  <si>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</si>
  <si>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</si>
  <si>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</si>
  <si>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</si>
  <si>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</si>
  <si>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</si>
  <si>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</si>
  <si>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</si>
  <si>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</si>
  <si>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</si>
  <si>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</si>
  <si>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</si>
  <si>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</si>
  <si>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</si>
  <si>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</si>
  <si>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</si>
  <si>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</si>
  <si>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</si>
  <si>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</si>
  <si>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</si>
  <si>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</si>
  <si>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</si>
  <si>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</si>
  <si>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</si>
  <si>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</si>
  <si>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</si>
  <si>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</si>
  <si>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</si>
  <si>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</si>
  <si>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</si>
  <si>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</si>
  <si>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</si>
  <si>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</si>
  <si>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</si>
  <si>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</si>
  <si>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</si>
  <si>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</si>
  <si>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</si>
  <si>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</si>
  <si>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</si>
  <si>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</si>
  <si>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</si>
  <si>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</si>
  <si>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</si>
  <si>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</si>
  <si>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</si>
  <si>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</si>
  <si>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</si>
  <si>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</si>
  <si>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</si>
  <si>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</si>
  <si>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</si>
  <si>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</si>
  <si>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</si>
  <si>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</si>
  <si>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</si>
  <si>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</si>
  <si>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</si>
  <si>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</si>
  <si>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</si>
  <si>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</si>
  <si>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</si>
  <si>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</si>
  <si>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</si>
  <si>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Hampton School District - SAU 90</t>
  </si>
  <si>
    <t>07/98</t>
  </si>
  <si>
    <t>07/17</t>
  </si>
  <si>
    <t>08/18</t>
  </si>
  <si>
    <t>08/42</t>
  </si>
  <si>
    <t>$421.76 is Indirect Cost from Title II recognized as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</si>
</sst>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ColWidth="8.6640625" defaultRowHeight="12.2" customHeight="1" x14ac:dyDescent="0.2"/>
  <cols>
    <col min="1" max="1" width="45.1640625" customWidth="1"/>
    <col min="2" max="2" width="5.16406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225</v>
      </c>
      <c r="C2" s="21">
        <v>225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741556.19+500+100</f>
        <v>742156.19</v>
      </c>
      <c r="G9" s="18"/>
      <c r="H9" s="18"/>
      <c r="I9" s="18">
        <v>794734.54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>
        <v>18271071.609999999</v>
      </c>
      <c r="J10" s="67">
        <f>SUM(I440)</f>
        <v>231478.29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7812.01</v>
      </c>
      <c r="G12" s="18">
        <v>17982.060000000001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8330.7900000000009</v>
      </c>
      <c r="G13" s="18"/>
      <c r="H13" s="18">
        <v>7812.01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3200</v>
      </c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761498.99</v>
      </c>
      <c r="G19" s="41">
        <f>SUM(G9:G18)</f>
        <v>17982.060000000001</v>
      </c>
      <c r="H19" s="41">
        <f>SUM(H9:H18)</f>
        <v>7812.01</v>
      </c>
      <c r="I19" s="41">
        <f>SUM(I9:I18)</f>
        <v>19065806.149999999</v>
      </c>
      <c r="J19" s="41">
        <f>SUM(J9:J18)</f>
        <v>231478.29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17982.060000000001</v>
      </c>
      <c r="G22" s="18"/>
      <c r="H22" s="18">
        <v>7812.01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98694.44</v>
      </c>
      <c r="G24" s="18"/>
      <c r="H24" s="18"/>
      <c r="I24" s="18">
        <v>24500.49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>
        <v>661741.53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50045.08+8625.74</f>
        <v>58670.82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73000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248347.32</v>
      </c>
      <c r="G32" s="41">
        <f>SUM(G22:G31)</f>
        <v>0</v>
      </c>
      <c r="H32" s="41">
        <f>SUM(H22:H31)</f>
        <v>7812.01</v>
      </c>
      <c r="I32" s="41">
        <f>SUM(I22:I31)</f>
        <v>686242.02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17982.060000000001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18379564.129999999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52426.5</v>
      </c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231478.29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168201.27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292523.90000000002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513151.67000000004</v>
      </c>
      <c r="G51" s="41">
        <f>SUM(G35:G50)</f>
        <v>17982.060000000001</v>
      </c>
      <c r="H51" s="41">
        <f>SUM(H35:H50)</f>
        <v>0</v>
      </c>
      <c r="I51" s="41">
        <f>SUM(I35:I50)</f>
        <v>18379564.129999999</v>
      </c>
      <c r="J51" s="41">
        <f>SUM(J35:J50)</f>
        <v>231478.29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761498.99</v>
      </c>
      <c r="G52" s="41">
        <f>G51+G32</f>
        <v>17982.060000000001</v>
      </c>
      <c r="H52" s="41">
        <f>H51+H32</f>
        <v>7812.01</v>
      </c>
      <c r="I52" s="41">
        <f>I51+I32</f>
        <v>19065806.149999999</v>
      </c>
      <c r="J52" s="41">
        <f>J51+J32</f>
        <v>231478.29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f>19658842-4777402</f>
        <v>14881440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14881440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27271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27271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3806.2</v>
      </c>
      <c r="G96" s="18"/>
      <c r="H96" s="18"/>
      <c r="I96" s="18">
        <f>46629.87+12804.56</f>
        <v>59434.43</v>
      </c>
      <c r="J96" s="18">
        <f>4275.54-279.75</f>
        <v>3995.79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75766.3+82237.48+105136.55</f>
        <v>263140.33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10780.08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>
        <v>10000</v>
      </c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38021.32</v>
      </c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39760.51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>
        <v>192.84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92368.11</v>
      </c>
      <c r="G111" s="41">
        <f>SUM(G96:G110)</f>
        <v>263140.33</v>
      </c>
      <c r="H111" s="41">
        <f>SUM(H96:H110)</f>
        <v>0</v>
      </c>
      <c r="I111" s="41">
        <f>SUM(I96:I110)</f>
        <v>69434.429999999993</v>
      </c>
      <c r="J111" s="41">
        <f>SUM(J96:J110)</f>
        <v>4188.63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15001079.109999999</v>
      </c>
      <c r="G112" s="41">
        <f>G60+G111</f>
        <v>263140.33</v>
      </c>
      <c r="H112" s="41">
        <f>H60+H79+H94+H111</f>
        <v>0</v>
      </c>
      <c r="I112" s="41">
        <f>I60+I111</f>
        <v>69434.429999999993</v>
      </c>
      <c r="J112" s="41">
        <f>J60+J111</f>
        <v>4188.63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0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4777402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5728.42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4783130.42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38329.360000000001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76098.66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6464.14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114428.02</v>
      </c>
      <c r="G136" s="41">
        <f>SUM(G123:G135)</f>
        <v>6464.14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4897558.4399999995</v>
      </c>
      <c r="G140" s="41">
        <f>G121+SUM(G136:G137)</f>
        <v>6464.14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1758.75+88060.08</f>
        <v>89818.83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14503.42+1186.87+55534.66+4425.75+29010.34+400</f>
        <v>105061.04000000001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106296.45+28084.35+59.29</f>
        <v>134440.09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14650+4720.01+8625.23+355.52+241899.8+9180.53</f>
        <v>279431.09000000003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98486.720000000001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421.76</v>
      </c>
      <c r="G161" s="18">
        <v>108.63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98908.479999999996</v>
      </c>
      <c r="G162" s="41">
        <f>SUM(G150:G161)</f>
        <v>134548.72</v>
      </c>
      <c r="H162" s="41">
        <f>SUM(H150:H161)</f>
        <v>474310.96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98908.479999999996</v>
      </c>
      <c r="G169" s="41">
        <f>G147+G162+SUM(G163:G168)</f>
        <v>134548.72</v>
      </c>
      <c r="H169" s="41">
        <f>H147+H162+SUM(H163:H168)</f>
        <v>474310.96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23701700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>
        <v>2248300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25950000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25950000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19997546.029999997</v>
      </c>
      <c r="G193" s="47">
        <f>G112+G140+G169+G192</f>
        <v>404153.19000000006</v>
      </c>
      <c r="H193" s="47">
        <f>H112+H140+H169+H192</f>
        <v>474310.96</v>
      </c>
      <c r="I193" s="47">
        <f>I112+I140+I169+I192</f>
        <v>26019434.43</v>
      </c>
      <c r="J193" s="47">
        <f>J112+J140+J192</f>
        <v>4188.63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6165096.5499999998</v>
      </c>
      <c r="G197" s="18">
        <f>2636724.75+0.01</f>
        <v>2636724.7599999998</v>
      </c>
      <c r="H197" s="18">
        <v>49403.31</v>
      </c>
      <c r="I197" s="18">
        <v>145762.03</v>
      </c>
      <c r="J197" s="18">
        <v>2935.54</v>
      </c>
      <c r="K197" s="18">
        <v>0</v>
      </c>
      <c r="L197" s="19">
        <f>SUM(F197:K197)</f>
        <v>8999922.1899999976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1542497.15</v>
      </c>
      <c r="G198" s="18">
        <v>659704.25</v>
      </c>
      <c r="H198" s="18">
        <v>660558.9</v>
      </c>
      <c r="I198" s="18">
        <v>3768.13</v>
      </c>
      <c r="J198" s="18">
        <v>0</v>
      </c>
      <c r="K198" s="18">
        <v>985</v>
      </c>
      <c r="L198" s="19">
        <f>SUM(F198:K198)</f>
        <v>2867513.4299999997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85352.75</v>
      </c>
      <c r="G200" s="18">
        <v>21346.720000000001</v>
      </c>
      <c r="H200" s="18">
        <v>34477.800000000003</v>
      </c>
      <c r="I200" s="18">
        <v>18171.689999999999</v>
      </c>
      <c r="J200" s="18">
        <v>0</v>
      </c>
      <c r="K200" s="18">
        <v>0</v>
      </c>
      <c r="L200" s="19">
        <f>SUM(F200:K200)</f>
        <v>159348.96000000002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1150847.5900000001</v>
      </c>
      <c r="G202" s="18">
        <v>492201.27</v>
      </c>
      <c r="H202" s="18">
        <v>36313.550000000003</v>
      </c>
      <c r="I202" s="18">
        <v>6136.21</v>
      </c>
      <c r="J202" s="18">
        <v>0</v>
      </c>
      <c r="K202" s="18">
        <v>0</v>
      </c>
      <c r="L202" s="19">
        <f t="shared" ref="L202:L208" si="0">SUM(F202:K202)</f>
        <v>1685498.62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551133.77</v>
      </c>
      <c r="G203" s="18">
        <f>39008.25+235712.13</f>
        <v>274720.38</v>
      </c>
      <c r="H203" s="18">
        <v>162323.25</v>
      </c>
      <c r="I203" s="18">
        <v>123277.04</v>
      </c>
      <c r="J203" s="18">
        <v>117998.54</v>
      </c>
      <c r="K203" s="18">
        <v>1085</v>
      </c>
      <c r="L203" s="19">
        <f t="shared" si="0"/>
        <v>1230537.98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364964.38</v>
      </c>
      <c r="G204" s="18">
        <v>156090.10999999999</v>
      </c>
      <c r="H204" s="18">
        <v>80327.86</v>
      </c>
      <c r="I204" s="18">
        <v>39734.31</v>
      </c>
      <c r="J204" s="18">
        <v>0</v>
      </c>
      <c r="K204" s="18">
        <v>11778.94</v>
      </c>
      <c r="L204" s="19">
        <f t="shared" si="0"/>
        <v>652895.59999999986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675353.44</v>
      </c>
      <c r="G205" s="18">
        <f>3375+288839.13</f>
        <v>292214.13</v>
      </c>
      <c r="H205" s="18">
        <v>20289.75</v>
      </c>
      <c r="I205" s="18">
        <v>13005.15</v>
      </c>
      <c r="J205" s="18">
        <v>0</v>
      </c>
      <c r="K205" s="18">
        <v>4132</v>
      </c>
      <c r="L205" s="19">
        <f t="shared" si="0"/>
        <v>1004994.47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572448.99</v>
      </c>
      <c r="G207" s="18">
        <v>244828.35</v>
      </c>
      <c r="H207" s="18">
        <f>419434.44</f>
        <v>419434.44</v>
      </c>
      <c r="I207" s="18">
        <v>307780.83</v>
      </c>
      <c r="J207" s="18">
        <v>32554.89</v>
      </c>
      <c r="K207" s="18">
        <v>0</v>
      </c>
      <c r="L207" s="19">
        <f t="shared" si="0"/>
        <v>1577047.5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907167.44</v>
      </c>
      <c r="I208" s="18">
        <v>0</v>
      </c>
      <c r="J208" s="18">
        <v>0</v>
      </c>
      <c r="K208" s="18">
        <v>0</v>
      </c>
      <c r="L208" s="19">
        <f t="shared" si="0"/>
        <v>907167.44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11107694.619999999</v>
      </c>
      <c r="G211" s="41">
        <f t="shared" si="1"/>
        <v>4777829.97</v>
      </c>
      <c r="H211" s="41">
        <f t="shared" si="1"/>
        <v>2370296.2999999998</v>
      </c>
      <c r="I211" s="41">
        <f t="shared" si="1"/>
        <v>657635.39</v>
      </c>
      <c r="J211" s="41">
        <f t="shared" si="1"/>
        <v>153488.96999999997</v>
      </c>
      <c r="K211" s="41">
        <f t="shared" si="1"/>
        <v>17980.940000000002</v>
      </c>
      <c r="L211" s="41">
        <f t="shared" si="1"/>
        <v>19084926.190000001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13800</v>
      </c>
      <c r="G250" s="18">
        <v>1056</v>
      </c>
      <c r="H250" s="18">
        <v>19541.64</v>
      </c>
      <c r="I250" s="18">
        <v>5331.36</v>
      </c>
      <c r="J250" s="18">
        <v>0</v>
      </c>
      <c r="K250" s="18">
        <v>0</v>
      </c>
      <c r="L250" s="19">
        <f t="shared" ref="L250:L255" si="6">SUM(F250:K250)</f>
        <v>39729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f>263576+50000</f>
        <v>313576</v>
      </c>
      <c r="I255" s="18"/>
      <c r="J255" s="18"/>
      <c r="K255" s="18"/>
      <c r="L255" s="19">
        <f t="shared" si="6"/>
        <v>313576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13800</v>
      </c>
      <c r="G256" s="41">
        <f t="shared" si="7"/>
        <v>1056</v>
      </c>
      <c r="H256" s="41">
        <f t="shared" si="7"/>
        <v>333117.64</v>
      </c>
      <c r="I256" s="41">
        <f t="shared" si="7"/>
        <v>5331.36</v>
      </c>
      <c r="J256" s="41">
        <f t="shared" si="7"/>
        <v>0</v>
      </c>
      <c r="K256" s="41">
        <f t="shared" si="7"/>
        <v>0</v>
      </c>
      <c r="L256" s="41">
        <f>SUM(F256:K256)</f>
        <v>353305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11121494.619999999</v>
      </c>
      <c r="G257" s="41">
        <f t="shared" si="8"/>
        <v>4778885.97</v>
      </c>
      <c r="H257" s="41">
        <f t="shared" si="8"/>
        <v>2703413.94</v>
      </c>
      <c r="I257" s="41">
        <f t="shared" si="8"/>
        <v>662966.75</v>
      </c>
      <c r="J257" s="41">
        <f t="shared" si="8"/>
        <v>153488.96999999997</v>
      </c>
      <c r="K257" s="41">
        <f t="shared" si="8"/>
        <v>17980.940000000002</v>
      </c>
      <c r="L257" s="41">
        <f t="shared" si="8"/>
        <v>19438231.190000001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130000</v>
      </c>
      <c r="L260" s="19">
        <f>SUM(F260:K260)</f>
        <v>130000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f>10000+583374.94</f>
        <v>593374.93999999994</v>
      </c>
      <c r="L261" s="19">
        <f>SUM(F261:K261)</f>
        <v>593374.93999999994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723374.94</v>
      </c>
      <c r="L270" s="41">
        <f t="shared" si="9"/>
        <v>723374.94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11121494.619999999</v>
      </c>
      <c r="G271" s="42">
        <f t="shared" si="11"/>
        <v>4778885.97</v>
      </c>
      <c r="H271" s="42">
        <f t="shared" si="11"/>
        <v>2703413.94</v>
      </c>
      <c r="I271" s="42">
        <f t="shared" si="11"/>
        <v>662966.75</v>
      </c>
      <c r="J271" s="42">
        <f t="shared" si="11"/>
        <v>153488.96999999997</v>
      </c>
      <c r="K271" s="42">
        <f t="shared" si="11"/>
        <v>741355.87999999989</v>
      </c>
      <c r="L271" s="42">
        <f t="shared" si="11"/>
        <v>20161606.130000003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69633.53</v>
      </c>
      <c r="G276" s="18">
        <v>5327.03</v>
      </c>
      <c r="H276" s="18">
        <v>7368.38</v>
      </c>
      <c r="I276" s="18">
        <v>2103.65</v>
      </c>
      <c r="J276" s="18">
        <v>673.97</v>
      </c>
      <c r="K276" s="18">
        <v>0</v>
      </c>
      <c r="L276" s="19">
        <f>SUM(F276:K276)</f>
        <v>85106.559999999998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153742.43</v>
      </c>
      <c r="G277" s="18">
        <v>11180.88</v>
      </c>
      <c r="H277" s="18">
        <v>83271.62</v>
      </c>
      <c r="I277" s="18">
        <v>11866.15</v>
      </c>
      <c r="J277" s="18">
        <v>0</v>
      </c>
      <c r="K277" s="18">
        <v>0</v>
      </c>
      <c r="L277" s="19">
        <f>SUM(F277:K277)</f>
        <v>260061.08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800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800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26845</v>
      </c>
      <c r="G282" s="18">
        <v>437.32</v>
      </c>
      <c r="H282" s="18">
        <v>78020.009999999995</v>
      </c>
      <c r="I282" s="18">
        <v>6992.36</v>
      </c>
      <c r="J282" s="18">
        <v>0</v>
      </c>
      <c r="K282" s="18">
        <v>7978.5</v>
      </c>
      <c r="L282" s="19">
        <f t="shared" si="12"/>
        <v>120273.18999999999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1828.34</v>
      </c>
      <c r="I283" s="18">
        <v>0</v>
      </c>
      <c r="J283" s="18">
        <v>0</v>
      </c>
      <c r="K283" s="18">
        <f>599+421.76</f>
        <v>1020.76</v>
      </c>
      <c r="L283" s="19">
        <f t="shared" si="12"/>
        <v>2849.1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4850</v>
      </c>
      <c r="G284" s="18">
        <v>371.03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5221.03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255870.96</v>
      </c>
      <c r="G290" s="42">
        <f t="shared" si="13"/>
        <v>17316.259999999998</v>
      </c>
      <c r="H290" s="42">
        <f t="shared" si="13"/>
        <v>170488.35</v>
      </c>
      <c r="I290" s="42">
        <f t="shared" si="13"/>
        <v>20962.16</v>
      </c>
      <c r="J290" s="42">
        <f t="shared" si="13"/>
        <v>673.97</v>
      </c>
      <c r="K290" s="42">
        <f t="shared" si="13"/>
        <v>8999.26</v>
      </c>
      <c r="L290" s="41">
        <f t="shared" si="13"/>
        <v>474310.96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255870.96</v>
      </c>
      <c r="G338" s="41">
        <f t="shared" si="20"/>
        <v>17316.259999999998</v>
      </c>
      <c r="H338" s="41">
        <f t="shared" si="20"/>
        <v>170488.35</v>
      </c>
      <c r="I338" s="41">
        <f t="shared" si="20"/>
        <v>20962.16</v>
      </c>
      <c r="J338" s="41">
        <f t="shared" si="20"/>
        <v>673.97</v>
      </c>
      <c r="K338" s="41">
        <f t="shared" si="20"/>
        <v>8999.26</v>
      </c>
      <c r="L338" s="41">
        <f t="shared" si="20"/>
        <v>474310.96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255870.96</v>
      </c>
      <c r="G352" s="41">
        <f>G338</f>
        <v>17316.259999999998</v>
      </c>
      <c r="H352" s="41">
        <f>H338</f>
        <v>170488.35</v>
      </c>
      <c r="I352" s="41">
        <f>I338</f>
        <v>20962.16</v>
      </c>
      <c r="J352" s="41">
        <f>J338</f>
        <v>673.97</v>
      </c>
      <c r="K352" s="47">
        <f>K338+K351</f>
        <v>8999.26</v>
      </c>
      <c r="L352" s="41">
        <f>L338+L351</f>
        <v>474310.96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60700+150093.6+1764.75</f>
        <v>212558.35</v>
      </c>
      <c r="G358" s="18">
        <v>0</v>
      </c>
      <c r="H358" s="18">
        <f>2913.72+2765.5</f>
        <v>5679.2199999999993</v>
      </c>
      <c r="I358" s="18">
        <f>3592.81+11177.75+179294.69</f>
        <v>194065.25</v>
      </c>
      <c r="J358" s="18">
        <v>0</v>
      </c>
      <c r="K358" s="18">
        <v>4283.59</v>
      </c>
      <c r="L358" s="13">
        <f>SUM(F358:K358)</f>
        <v>416586.41000000003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212558.35</v>
      </c>
      <c r="G362" s="47">
        <f t="shared" si="22"/>
        <v>0</v>
      </c>
      <c r="H362" s="47">
        <f t="shared" si="22"/>
        <v>5679.2199999999993</v>
      </c>
      <c r="I362" s="47">
        <f t="shared" si="22"/>
        <v>194065.25</v>
      </c>
      <c r="J362" s="47">
        <f t="shared" si="22"/>
        <v>0</v>
      </c>
      <c r="K362" s="47">
        <f t="shared" si="22"/>
        <v>4283.59</v>
      </c>
      <c r="L362" s="47">
        <f t="shared" si="22"/>
        <v>416586.41000000003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179294.69</v>
      </c>
      <c r="G367" s="18"/>
      <c r="H367" s="18"/>
      <c r="I367" s="56">
        <f>SUM(F367:H367)</f>
        <v>179294.69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3592.81+11177.75</f>
        <v>14770.56</v>
      </c>
      <c r="G368" s="63"/>
      <c r="H368" s="63"/>
      <c r="I368" s="56">
        <f>SUM(F368:H368)</f>
        <v>14770.56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194065.25</v>
      </c>
      <c r="G369" s="47">
        <f>SUM(G367:G368)</f>
        <v>0</v>
      </c>
      <c r="H369" s="47">
        <f>SUM(H367:H368)</f>
        <v>0</v>
      </c>
      <c r="I369" s="47">
        <f>SUM(I367:I368)</f>
        <v>194065.25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>
        <v>803462</v>
      </c>
      <c r="I376" s="18"/>
      <c r="J376" s="18"/>
      <c r="K376" s="18"/>
      <c r="L376" s="13">
        <f t="shared" si="23"/>
        <v>803462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>
        <v>132694.21</v>
      </c>
      <c r="I377" s="18"/>
      <c r="J377" s="18"/>
      <c r="K377" s="18"/>
      <c r="L377" s="13">
        <f t="shared" si="23"/>
        <v>132694.21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6617414.5300000003</v>
      </c>
      <c r="I379" s="18"/>
      <c r="J379" s="18"/>
      <c r="K379" s="18"/>
      <c r="L379" s="13">
        <f t="shared" si="23"/>
        <v>6617414.5300000003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>
        <f>64874.19+19192.5+2232.87</f>
        <v>86299.56</v>
      </c>
      <c r="I380" s="18"/>
      <c r="J380" s="18"/>
      <c r="K380" s="18"/>
      <c r="L380" s="13">
        <f t="shared" si="23"/>
        <v>86299.56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7639870.2999999998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7639870.2999999998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f>4275.54-279.75</f>
        <v>3995.79</v>
      </c>
      <c r="I397" s="18">
        <v>192.84</v>
      </c>
      <c r="J397" s="24" t="s">
        <v>286</v>
      </c>
      <c r="K397" s="24" t="s">
        <v>286</v>
      </c>
      <c r="L397" s="56">
        <f t="shared" si="26"/>
        <v>4188.63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3995.79</v>
      </c>
      <c r="I401" s="47">
        <f>SUM(I395:I400)</f>
        <v>192.84</v>
      </c>
      <c r="J401" s="45" t="s">
        <v>286</v>
      </c>
      <c r="K401" s="45" t="s">
        <v>286</v>
      </c>
      <c r="L401" s="47">
        <f>SUM(L395:L400)</f>
        <v>4188.63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3995.79</v>
      </c>
      <c r="I408" s="47">
        <f>I393+I401+I407</f>
        <v>192.84</v>
      </c>
      <c r="J408" s="24" t="s">
        <v>286</v>
      </c>
      <c r="K408" s="24" t="s">
        <v>286</v>
      </c>
      <c r="L408" s="47">
        <f>L393+L401+L407</f>
        <v>4188.63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231478.29</v>
      </c>
      <c r="H440" s="18"/>
      <c r="I440" s="56">
        <f t="shared" si="33"/>
        <v>231478.29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231478.29</v>
      </c>
      <c r="H446" s="13">
        <f>SUM(H439:H445)</f>
        <v>0</v>
      </c>
      <c r="I446" s="13">
        <f>SUM(I439:I445)</f>
        <v>231478.29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231478.29</v>
      </c>
      <c r="H459" s="18"/>
      <c r="I459" s="56">
        <f t="shared" si="34"/>
        <v>231478.29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231478.29</v>
      </c>
      <c r="H460" s="83">
        <f>SUM(H454:H459)</f>
        <v>0</v>
      </c>
      <c r="I460" s="83">
        <f>SUM(I454:I459)</f>
        <v>231478.29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231478.29</v>
      </c>
      <c r="H461" s="42">
        <f>H452+H460</f>
        <v>0</v>
      </c>
      <c r="I461" s="42">
        <f>I452+I460</f>
        <v>231478.29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677211.77</v>
      </c>
      <c r="G465" s="18">
        <v>30415.279999999999</v>
      </c>
      <c r="H465" s="18">
        <v>0</v>
      </c>
      <c r="I465" s="18">
        <v>0</v>
      </c>
      <c r="J465" s="18">
        <v>227289.66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19997546.030000001</v>
      </c>
      <c r="G468" s="18">
        <v>404153.19</v>
      </c>
      <c r="H468" s="18">
        <v>474310.96</v>
      </c>
      <c r="I468" s="18">
        <f>25950000+46629.87+12804.56+10000</f>
        <v>26019434.43</v>
      </c>
      <c r="J468" s="18">
        <f>4275.54-279.75+192.84</f>
        <v>4188.63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19997546.030000001</v>
      </c>
      <c r="G470" s="53">
        <f>SUM(G468:G469)</f>
        <v>404153.19</v>
      </c>
      <c r="H470" s="53">
        <f>SUM(H468:H469)</f>
        <v>474310.96</v>
      </c>
      <c r="I470" s="53">
        <f>SUM(I468:I469)</f>
        <v>26019434.43</v>
      </c>
      <c r="J470" s="53">
        <f>SUM(J468:J469)</f>
        <v>4188.63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20161606.129999999</v>
      </c>
      <c r="G472" s="18">
        <v>416586.41</v>
      </c>
      <c r="H472" s="18">
        <v>474310.96</v>
      </c>
      <c r="I472" s="18">
        <v>7639870.2999999998</v>
      </c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20161606.129999999</v>
      </c>
      <c r="G474" s="53">
        <f>SUM(G472:G473)</f>
        <v>416586.41</v>
      </c>
      <c r="H474" s="53">
        <f>SUM(H472:H473)</f>
        <v>474310.96</v>
      </c>
      <c r="I474" s="53">
        <f>SUM(I472:I473)</f>
        <v>7639870.2999999998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513151.67000000179</v>
      </c>
      <c r="G476" s="53">
        <f>(G465+G470)- G474</f>
        <v>17982.059999999998</v>
      </c>
      <c r="H476" s="53">
        <f>(H465+H470)- H474</f>
        <v>0</v>
      </c>
      <c r="I476" s="53">
        <f>(I465+I470)- I474</f>
        <v>18379564.129999999</v>
      </c>
      <c r="J476" s="53">
        <f>(J465+J470)- J474</f>
        <v>231478.29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25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915</v>
      </c>
      <c r="G492" s="155" t="s">
        <v>916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1770000</v>
      </c>
      <c r="G493" s="18">
        <v>23701700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4.91</v>
      </c>
      <c r="G494" s="18">
        <v>3.1509999999999998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265000</v>
      </c>
      <c r="G495" s="18">
        <v>0</v>
      </c>
      <c r="H495" s="18"/>
      <c r="I495" s="18"/>
      <c r="J495" s="18"/>
      <c r="K495" s="53">
        <f>SUM(F495:J495)</f>
        <v>265000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23701700</v>
      </c>
      <c r="H496" s="18"/>
      <c r="I496" s="18"/>
      <c r="J496" s="18"/>
      <c r="K496" s="53">
        <f t="shared" ref="K496:K503" si="35">SUM(F496:J496)</f>
        <v>23701700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130000</v>
      </c>
      <c r="G497" s="18">
        <v>0</v>
      </c>
      <c r="H497" s="18"/>
      <c r="I497" s="18"/>
      <c r="J497" s="18"/>
      <c r="K497" s="53">
        <f t="shared" si="35"/>
        <v>130000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135000</v>
      </c>
      <c r="G498" s="204">
        <v>23701700</v>
      </c>
      <c r="H498" s="204"/>
      <c r="I498" s="204"/>
      <c r="J498" s="204"/>
      <c r="K498" s="205">
        <f t="shared" si="35"/>
        <v>23836700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3375</v>
      </c>
      <c r="G499" s="18">
        <f>14214018.3-583374.95</f>
        <v>13630643.350000001</v>
      </c>
      <c r="H499" s="18"/>
      <c r="I499" s="18"/>
      <c r="J499" s="18"/>
      <c r="K499" s="53">
        <f t="shared" si="35"/>
        <v>13634018.350000001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138375</v>
      </c>
      <c r="G500" s="42">
        <f>SUM(G498:G499)</f>
        <v>37332343.350000001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37470718.350000001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135000</v>
      </c>
      <c r="G501" s="204">
        <v>526700</v>
      </c>
      <c r="H501" s="204"/>
      <c r="I501" s="204"/>
      <c r="J501" s="204"/>
      <c r="K501" s="205">
        <f t="shared" si="35"/>
        <v>661700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3375</v>
      </c>
      <c r="G502" s="18">
        <f>495318.35+481887.5</f>
        <v>977205.85</v>
      </c>
      <c r="H502" s="18"/>
      <c r="I502" s="18"/>
      <c r="J502" s="18"/>
      <c r="K502" s="53">
        <f t="shared" si="35"/>
        <v>980580.85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138375</v>
      </c>
      <c r="G503" s="42">
        <f>SUM(G501:G502)</f>
        <v>1503905.85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1642280.85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1379338.05</v>
      </c>
      <c r="G521" s="18">
        <f>ROUND(1379338.05*0.0765,2)+ROUND(1379338.05*0.1736,2)+ROUND(15*50*0.156*12,2)+ROUND(28*20*0.156*12,2)+ROUND(1379338.05*0.00215,2)+155994.08+5911.38+42284.88</f>
        <v>554580.69000000006</v>
      </c>
      <c r="H521" s="18">
        <f>660558.9+83271.62-2912</f>
        <v>740918.52</v>
      </c>
      <c r="I521" s="18">
        <f>3768.13+11866.15</f>
        <v>15634.279999999999</v>
      </c>
      <c r="J521" s="18">
        <v>0</v>
      </c>
      <c r="K521" s="18">
        <v>0</v>
      </c>
      <c r="L521" s="88">
        <f>SUM(F521:K521)</f>
        <v>2690471.54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1379338.05</v>
      </c>
      <c r="G524" s="108">
        <f t="shared" ref="G524:L524" si="36">SUM(G521:G523)</f>
        <v>554580.69000000006</v>
      </c>
      <c r="H524" s="108">
        <f t="shared" si="36"/>
        <v>740918.52</v>
      </c>
      <c r="I524" s="108">
        <f t="shared" si="36"/>
        <v>15634.279999999999</v>
      </c>
      <c r="J524" s="108">
        <f t="shared" si="36"/>
        <v>0</v>
      </c>
      <c r="K524" s="108">
        <f t="shared" si="36"/>
        <v>0</v>
      </c>
      <c r="L524" s="89">
        <f t="shared" si="36"/>
        <v>2690471.54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553164</v>
      </c>
      <c r="G526" s="18">
        <f>ROUND(553164*0.0765,2)+ROUND(553164*0.1736,2)+ROUND(7*50*0.156*12,2)+ROUND(553164*0.00215,2)+83992.38+4607.64</f>
        <v>228790.84000000003</v>
      </c>
      <c r="H526" s="18">
        <v>34208.050000000003</v>
      </c>
      <c r="I526" s="18">
        <v>0</v>
      </c>
      <c r="J526" s="18">
        <v>0</v>
      </c>
      <c r="K526" s="18">
        <v>0</v>
      </c>
      <c r="L526" s="88">
        <f>SUM(F526:K526)</f>
        <v>816162.89000000013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553164</v>
      </c>
      <c r="G529" s="89">
        <f t="shared" ref="G529:L529" si="37">SUM(G526:G528)</f>
        <v>228790.84000000003</v>
      </c>
      <c r="H529" s="89">
        <f t="shared" si="37"/>
        <v>34208.050000000003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816162.89000000013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88150+75009.1</f>
        <v>163159.1</v>
      </c>
      <c r="G531" s="18">
        <f>ROUND(163159.1*0.0765,2)+ROUND(86200*0.1736,2)+ROUND(76959.1*0.1138,2)+ROUND(140*0.156*12,2)+ROUND(163159.1*0.00215,2)+ROUND(693.73*0.85*12,2)+ROUND(44.04*0.75*12,2)+ROUND(1629*0.85*12,2)+ROUND(85.17*0.5*12,2)+ROUND(1873.07*0.87*12,2)+ROUND(155.16*0.5*12,2)</f>
        <v>81901.850000000006</v>
      </c>
      <c r="H531" s="18">
        <f>1250+1500</f>
        <v>2750</v>
      </c>
      <c r="I531" s="18">
        <v>0</v>
      </c>
      <c r="J531" s="18">
        <v>0</v>
      </c>
      <c r="K531" s="18">
        <v>985</v>
      </c>
      <c r="L531" s="88">
        <f>SUM(F531:K531)</f>
        <v>248795.95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163159.1</v>
      </c>
      <c r="G534" s="89">
        <f t="shared" ref="G534:L534" si="38">SUM(G531:G533)</f>
        <v>81901.850000000006</v>
      </c>
      <c r="H534" s="89">
        <f t="shared" si="38"/>
        <v>2750</v>
      </c>
      <c r="I534" s="89">
        <f t="shared" si="38"/>
        <v>0</v>
      </c>
      <c r="J534" s="89">
        <f t="shared" si="38"/>
        <v>0</v>
      </c>
      <c r="K534" s="89">
        <f t="shared" si="38"/>
        <v>985</v>
      </c>
      <c r="L534" s="89">
        <f t="shared" si="38"/>
        <v>248795.95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>
        <v>0</v>
      </c>
      <c r="G536" s="18">
        <v>0</v>
      </c>
      <c r="H536" s="18">
        <v>162</v>
      </c>
      <c r="I536" s="18">
        <v>0</v>
      </c>
      <c r="J536" s="18">
        <v>0</v>
      </c>
      <c r="K536" s="18">
        <v>0</v>
      </c>
      <c r="L536" s="88">
        <f>SUM(F536:K536)</f>
        <v>162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162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162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0</v>
      </c>
      <c r="G541" s="18">
        <v>0</v>
      </c>
      <c r="H541" s="18">
        <v>211864.61</v>
      </c>
      <c r="I541" s="18">
        <v>0</v>
      </c>
      <c r="J541" s="18">
        <v>0</v>
      </c>
      <c r="K541" s="18">
        <v>0</v>
      </c>
      <c r="L541" s="88">
        <f>SUM(F541:K541)</f>
        <v>211864.61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211864.61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211864.61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2095661.1500000001</v>
      </c>
      <c r="G545" s="89">
        <f t="shared" ref="G545:L545" si="41">G524+G529+G534+G539+G544</f>
        <v>865273.38</v>
      </c>
      <c r="H545" s="89">
        <f t="shared" si="41"/>
        <v>989903.18</v>
      </c>
      <c r="I545" s="89">
        <f t="shared" si="41"/>
        <v>15634.279999999999</v>
      </c>
      <c r="J545" s="89">
        <f t="shared" si="41"/>
        <v>0</v>
      </c>
      <c r="K545" s="89">
        <f t="shared" si="41"/>
        <v>985</v>
      </c>
      <c r="L545" s="89">
        <f t="shared" si="41"/>
        <v>3967456.99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2690471.54</v>
      </c>
      <c r="G549" s="87">
        <f>L526</f>
        <v>816162.89000000013</v>
      </c>
      <c r="H549" s="87">
        <f>L531</f>
        <v>248795.95</v>
      </c>
      <c r="I549" s="87">
        <f>L536</f>
        <v>162</v>
      </c>
      <c r="J549" s="87">
        <f>L541</f>
        <v>211864.61</v>
      </c>
      <c r="K549" s="87">
        <f>SUM(F549:J549)</f>
        <v>3967456.99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2690471.54</v>
      </c>
      <c r="G552" s="89">
        <f t="shared" si="42"/>
        <v>816162.89000000013</v>
      </c>
      <c r="H552" s="89">
        <f t="shared" si="42"/>
        <v>248795.95</v>
      </c>
      <c r="I552" s="89">
        <f t="shared" si="42"/>
        <v>162</v>
      </c>
      <c r="J552" s="89">
        <f t="shared" si="42"/>
        <v>211864.61</v>
      </c>
      <c r="K552" s="89">
        <f t="shared" si="42"/>
        <v>3967456.99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126060</v>
      </c>
      <c r="G562" s="18">
        <f>ROUND(126060*0.0765,2)+ROUND(126060*0.1736,2)+(93.6*2)+ROUND(126060*0.00215,2)+ROUND(1387.46*0.87*12,2)+ROUND(85.17*0.5*12,2)+ROUND(569.03*0.95*12,2)+ROUND(44.04*0.75*12,2)</f>
        <v>53865.24</v>
      </c>
      <c r="H562" s="18"/>
      <c r="I562" s="18"/>
      <c r="J562" s="18"/>
      <c r="K562" s="18"/>
      <c r="L562" s="88">
        <f>SUM(F562:K562)</f>
        <v>179925.24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126060</v>
      </c>
      <c r="G565" s="89">
        <f t="shared" si="44"/>
        <v>53865.24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179925.24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126060</v>
      </c>
      <c r="G571" s="89">
        <f t="shared" ref="G571:L571" si="46">G560+G565+G570</f>
        <v>53865.24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179925.24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645726.25</v>
      </c>
      <c r="G578" s="18"/>
      <c r="H578" s="18"/>
      <c r="I578" s="87">
        <f t="shared" si="47"/>
        <v>645726.25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634911.42-35640</f>
        <v>599271.42000000004</v>
      </c>
      <c r="I591" s="18"/>
      <c r="J591" s="18"/>
      <c r="K591" s="104">
        <f t="shared" ref="K591:K597" si="48">SUM(H591:J591)</f>
        <v>599271.42000000004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211864.61</v>
      </c>
      <c r="I592" s="18"/>
      <c r="J592" s="18"/>
      <c r="K592" s="104">
        <f t="shared" si="48"/>
        <v>211864.61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11265.2</v>
      </c>
      <c r="I594" s="18"/>
      <c r="J594" s="18"/>
      <c r="K594" s="104">
        <f t="shared" si="48"/>
        <v>11265.2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10101.94</v>
      </c>
      <c r="I595" s="18"/>
      <c r="J595" s="18"/>
      <c r="K595" s="104">
        <f t="shared" si="48"/>
        <v>10101.94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35640</v>
      </c>
      <c r="I596" s="18"/>
      <c r="J596" s="18"/>
      <c r="K596" s="104">
        <f t="shared" si="48"/>
        <v>35640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39024.269999999997</v>
      </c>
      <c r="I597" s="18"/>
      <c r="J597" s="18"/>
      <c r="K597" s="104">
        <f t="shared" si="48"/>
        <v>39024.269999999997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907167.44</v>
      </c>
      <c r="I598" s="108">
        <f>SUM(I591:I597)</f>
        <v>0</v>
      </c>
      <c r="J598" s="108">
        <f>SUM(J591:J597)</f>
        <v>0</v>
      </c>
      <c r="K598" s="108">
        <f>SUM(K591:K597)</f>
        <v>907167.44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153488.97+673.97</f>
        <v>154162.94</v>
      </c>
      <c r="I604" s="18"/>
      <c r="J604" s="18"/>
      <c r="K604" s="104">
        <f>SUM(H604:J604)</f>
        <v>154162.94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154162.94</v>
      </c>
      <c r="I605" s="108">
        <f>SUM(I602:I604)</f>
        <v>0</v>
      </c>
      <c r="J605" s="108">
        <f>SUM(J602:J604)</f>
        <v>0</v>
      </c>
      <c r="K605" s="108">
        <f>SUM(K602:K604)</f>
        <v>154162.94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2000</v>
      </c>
      <c r="G611" s="18"/>
      <c r="H611" s="18"/>
      <c r="I611" s="18"/>
      <c r="J611" s="18"/>
      <c r="K611" s="18"/>
      <c r="L611" s="88">
        <f>SUM(F611:K611)</f>
        <v>2000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2000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2000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761498.99</v>
      </c>
      <c r="H617" s="109">
        <f>SUM(F52)</f>
        <v>761498.99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17982.060000000001</v>
      </c>
      <c r="H618" s="109">
        <f>SUM(G52)</f>
        <v>17982.060000000001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7812.01</v>
      </c>
      <c r="H619" s="109">
        <f>SUM(H52)</f>
        <v>7812.01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19065806.149999999</v>
      </c>
      <c r="H620" s="109">
        <f>SUM(I52)</f>
        <v>19065806.149999999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231478.29</v>
      </c>
      <c r="H621" s="109">
        <f>SUM(J52)</f>
        <v>231478.29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513151.67000000004</v>
      </c>
      <c r="H622" s="109">
        <f>F476</f>
        <v>513151.67000000179</v>
      </c>
      <c r="I622" s="121" t="s">
        <v>101</v>
      </c>
      <c r="J622" s="109">
        <f t="shared" ref="J622:J655" si="50">G622-H622</f>
        <v>-1.7462298274040222E-9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17982.060000000001</v>
      </c>
      <c r="H623" s="109">
        <f>G476</f>
        <v>17982.059999999998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18379564.129999999</v>
      </c>
      <c r="H625" s="109">
        <f>I476</f>
        <v>18379564.129999999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231478.29</v>
      </c>
      <c r="H626" s="109">
        <f>J476</f>
        <v>231478.29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19997546.029999997</v>
      </c>
      <c r="H627" s="104">
        <f>SUM(F468)</f>
        <v>19997546.030000001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404153.19000000006</v>
      </c>
      <c r="H628" s="104">
        <f>SUM(G468)</f>
        <v>404153.19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474310.96</v>
      </c>
      <c r="H629" s="104">
        <f>SUM(H468)</f>
        <v>474310.96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26019434.43</v>
      </c>
      <c r="H630" s="104">
        <f>SUM(I468)</f>
        <v>26019434.43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4188.63</v>
      </c>
      <c r="H631" s="104">
        <f>SUM(J468)</f>
        <v>4188.63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20161606.130000003</v>
      </c>
      <c r="H632" s="104">
        <f>SUM(F472)</f>
        <v>20161606.129999999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474310.96</v>
      </c>
      <c r="H633" s="104">
        <f>SUM(H472)</f>
        <v>474310.96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194065.25</v>
      </c>
      <c r="H634" s="104">
        <f>I369</f>
        <v>194065.25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416586.41000000003</v>
      </c>
      <c r="H635" s="104">
        <f>SUM(G472)</f>
        <v>416586.41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7639870.2999999998</v>
      </c>
      <c r="H636" s="104">
        <f>SUM(I472)</f>
        <v>7639870.2999999998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4188.63</v>
      </c>
      <c r="H637" s="164">
        <f>SUM(J468)</f>
        <v>4188.63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231478.29</v>
      </c>
      <c r="H640" s="104">
        <f>SUM(G461)</f>
        <v>231478.29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231478.29</v>
      </c>
      <c r="H642" s="104">
        <f>SUM(I461)</f>
        <v>231478.29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3995.79</v>
      </c>
      <c r="H644" s="104">
        <f>H408</f>
        <v>3995.79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4188.63</v>
      </c>
      <c r="H646" s="104">
        <f>L408</f>
        <v>4188.63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907167.44</v>
      </c>
      <c r="H647" s="104">
        <f>L208+L226+L244</f>
        <v>907167.44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154162.94</v>
      </c>
      <c r="H648" s="104">
        <f>(J257+J338)-(J255+J336)</f>
        <v>154162.93999999997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907167.44</v>
      </c>
      <c r="H649" s="104">
        <f>H598</f>
        <v>907167.44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19975823.560000002</v>
      </c>
      <c r="G660" s="19">
        <f>(L229+L309+L359)</f>
        <v>0</v>
      </c>
      <c r="H660" s="19">
        <f>(L247+L328+L360)</f>
        <v>0</v>
      </c>
      <c r="I660" s="19">
        <f>SUM(F660:H660)</f>
        <v>19975823.560000002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263140.33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263140.33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907167.44</v>
      </c>
      <c r="G662" s="19">
        <f>(L226+L306)-(J226+J306)</f>
        <v>0</v>
      </c>
      <c r="H662" s="19">
        <f>(L244+L325)-(J244+J325)</f>
        <v>0</v>
      </c>
      <c r="I662" s="19">
        <f>SUM(F662:H662)</f>
        <v>907167.44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801889.19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801889.19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18003626.600000001</v>
      </c>
      <c r="G664" s="19">
        <f>G660-SUM(G661:G663)</f>
        <v>0</v>
      </c>
      <c r="H664" s="19">
        <f>H660-SUM(H661:H663)</f>
        <v>0</v>
      </c>
      <c r="I664" s="19">
        <f>I660-SUM(I661:I663)</f>
        <v>18003626.600000001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1076.1199999999999</v>
      </c>
      <c r="G665" s="248"/>
      <c r="H665" s="248"/>
      <c r="I665" s="19">
        <f>SUM(F665:H665)</f>
        <v>1076.1199999999999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16730.13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16730.13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16730.13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16730.13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orizontalCentered="1"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zoomScale="130" zoomScaleNormal="130" workbookViewId="0">
      <selection activeCell="C21" sqref="C21"/>
    </sheetView>
  </sheetViews>
  <sheetFormatPr defaultColWidth="8.6640625"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Hampton School District - SAU 90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6234730.0800000001</v>
      </c>
      <c r="C9" s="229">
        <f>'DOE25'!G197+'DOE25'!G215+'DOE25'!G233+'DOE25'!G276+'DOE25'!G295+'DOE25'!G314</f>
        <v>2642051.7899999996</v>
      </c>
    </row>
    <row r="10" spans="1:3" x14ac:dyDescent="0.2">
      <c r="A10" t="s">
        <v>773</v>
      </c>
      <c r="B10" s="240">
        <v>5827999.5899999999</v>
      </c>
      <c r="C10" s="240">
        <v>2600216.83</v>
      </c>
    </row>
    <row r="11" spans="1:3" x14ac:dyDescent="0.2">
      <c r="A11" t="s">
        <v>774</v>
      </c>
      <c r="B11" s="240">
        <v>203542.53</v>
      </c>
      <c r="C11" s="240">
        <f>15571.01+7688.16+437.62+336+1017.71+224.64</f>
        <v>25275.139999999996</v>
      </c>
    </row>
    <row r="12" spans="1:3" x14ac:dyDescent="0.2">
      <c r="A12" t="s">
        <v>775</v>
      </c>
      <c r="B12" s="240">
        <v>203187.96</v>
      </c>
      <c r="C12" s="240">
        <f>15543.88+1015.94</f>
        <v>16559.82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6234730.0800000001</v>
      </c>
      <c r="C13" s="231">
        <f>SUM(C10:C12)</f>
        <v>2642051.79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1696239.5799999998</v>
      </c>
      <c r="C18" s="229">
        <f>'DOE25'!G198+'DOE25'!G216+'DOE25'!G234+'DOE25'!G277+'DOE25'!G296+'DOE25'!G315</f>
        <v>670885.13</v>
      </c>
    </row>
    <row r="19" spans="1:3" x14ac:dyDescent="0.2">
      <c r="A19" t="s">
        <v>773</v>
      </c>
      <c r="B19" s="240">
        <f>946027.7+22502.63+875</f>
        <v>969405.33</v>
      </c>
      <c r="C19" s="240">
        <v>489579.84</v>
      </c>
    </row>
    <row r="20" spans="1:3" x14ac:dyDescent="0.2">
      <c r="A20" t="s">
        <v>774</v>
      </c>
      <c r="B20" s="240">
        <f>501132.67+7034.73</f>
        <v>508167.39999999997</v>
      </c>
      <c r="C20" s="240">
        <f>38874.81+34596.72+1123.2+1624+2540.84+1092.56</f>
        <v>79852.12999999999</v>
      </c>
    </row>
    <row r="21" spans="1:3" x14ac:dyDescent="0.2">
      <c r="A21" t="s">
        <v>775</v>
      </c>
      <c r="B21" s="240">
        <v>218666.85</v>
      </c>
      <c r="C21" s="240">
        <f>16728.01+15302.84+14779.27+1093.33+224+299.52+468.74+7076.05+19554.85+7076.05+16615.8+792.72+1441.98</f>
        <v>101453.15999999999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1696239.58</v>
      </c>
      <c r="C22" s="231">
        <f>SUM(C19:C21)</f>
        <v>670885.13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>
        <v>0</v>
      </c>
      <c r="C28" s="240">
        <v>0</v>
      </c>
    </row>
    <row r="29" spans="1:3" x14ac:dyDescent="0.2">
      <c r="A29" t="s">
        <v>774</v>
      </c>
      <c r="B29" s="240">
        <v>0</v>
      </c>
      <c r="C29" s="240">
        <v>0</v>
      </c>
    </row>
    <row r="30" spans="1:3" x14ac:dyDescent="0.2">
      <c r="A30" t="s">
        <v>775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86152.75</v>
      </c>
      <c r="C36" s="235">
        <f>'DOE25'!G200+'DOE25'!G218+'DOE25'!G236+'DOE25'!G279+'DOE25'!G298+'DOE25'!G317</f>
        <v>21346.720000000001</v>
      </c>
    </row>
    <row r="37" spans="1:3" x14ac:dyDescent="0.2">
      <c r="A37" t="s">
        <v>773</v>
      </c>
      <c r="B37" s="240">
        <v>86152.75</v>
      </c>
      <c r="C37" s="240">
        <v>21346.720000000001</v>
      </c>
    </row>
    <row r="38" spans="1:3" x14ac:dyDescent="0.2">
      <c r="A38" t="s">
        <v>774</v>
      </c>
      <c r="B38" s="240">
        <v>0</v>
      </c>
      <c r="C38" s="240">
        <v>0</v>
      </c>
    </row>
    <row r="39" spans="1:3" x14ac:dyDescent="0.2">
      <c r="A39" t="s">
        <v>775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86152.75</v>
      </c>
      <c r="C40" s="231">
        <f>SUM(C37:C39)</f>
        <v>21346.720000000001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ColWidth="8.6640625"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Hampton School District - SAU 90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12026784.579999998</v>
      </c>
      <c r="D5" s="20">
        <f>SUM('DOE25'!L197:L200)+SUM('DOE25'!L215:L218)+SUM('DOE25'!L233:L236)-F5-G5</f>
        <v>12022864.039999999</v>
      </c>
      <c r="E5" s="243"/>
      <c r="F5" s="255">
        <f>SUM('DOE25'!J197:J200)+SUM('DOE25'!J215:J218)+SUM('DOE25'!J233:J236)</f>
        <v>2935.54</v>
      </c>
      <c r="G5" s="53">
        <f>SUM('DOE25'!K197:K200)+SUM('DOE25'!K215:K218)+SUM('DOE25'!K233:K236)</f>
        <v>985</v>
      </c>
      <c r="H5" s="259"/>
    </row>
    <row r="6" spans="1:9" x14ac:dyDescent="0.2">
      <c r="A6" s="32">
        <v>2100</v>
      </c>
      <c r="B6" t="s">
        <v>795</v>
      </c>
      <c r="C6" s="245">
        <f t="shared" si="0"/>
        <v>1685498.62</v>
      </c>
      <c r="D6" s="20">
        <f>'DOE25'!L202+'DOE25'!L220+'DOE25'!L238-F6-G6</f>
        <v>1685498.62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1230537.98</v>
      </c>
      <c r="D7" s="20">
        <f>'DOE25'!L203+'DOE25'!L221+'DOE25'!L239-F7-G7</f>
        <v>1111454.44</v>
      </c>
      <c r="E7" s="243"/>
      <c r="F7" s="255">
        <f>'DOE25'!J203+'DOE25'!J221+'DOE25'!J239</f>
        <v>117998.54</v>
      </c>
      <c r="G7" s="53">
        <f>'DOE25'!K203+'DOE25'!K221+'DOE25'!K239</f>
        <v>1085</v>
      </c>
      <c r="H7" s="259"/>
    </row>
    <row r="8" spans="1:9" x14ac:dyDescent="0.2">
      <c r="A8" s="32">
        <v>2300</v>
      </c>
      <c r="B8" t="s">
        <v>796</v>
      </c>
      <c r="C8" s="245">
        <f t="shared" si="0"/>
        <v>337724.35</v>
      </c>
      <c r="D8" s="243"/>
      <c r="E8" s="20">
        <f>'DOE25'!L204+'DOE25'!L222+'DOE25'!L240-F8-G8-D9-D11</f>
        <v>325945.40999999997</v>
      </c>
      <c r="F8" s="255">
        <f>'DOE25'!J204+'DOE25'!J222+'DOE25'!J240</f>
        <v>0</v>
      </c>
      <c r="G8" s="53">
        <f>'DOE25'!K204+'DOE25'!K222+'DOE25'!K240</f>
        <v>11778.94</v>
      </c>
      <c r="H8" s="259"/>
    </row>
    <row r="9" spans="1:9" x14ac:dyDescent="0.2">
      <c r="A9" s="32">
        <v>2310</v>
      </c>
      <c r="B9" t="s">
        <v>812</v>
      </c>
      <c r="C9" s="245">
        <f t="shared" si="0"/>
        <v>56171.09</v>
      </c>
      <c r="D9" s="244">
        <v>56171.09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12850</v>
      </c>
      <c r="D10" s="243"/>
      <c r="E10" s="244">
        <v>12850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259000.15999999997</v>
      </c>
      <c r="D11" s="244">
        <f>130600+5023+4825.4+42970.83+56614+18966.93</f>
        <v>259000.15999999997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1004994.47</v>
      </c>
      <c r="D12" s="20">
        <f>'DOE25'!L205+'DOE25'!L223+'DOE25'!L241-F12-G12</f>
        <v>1000862.47</v>
      </c>
      <c r="E12" s="243"/>
      <c r="F12" s="255">
        <f>'DOE25'!J205+'DOE25'!J223+'DOE25'!J241</f>
        <v>0</v>
      </c>
      <c r="G12" s="53">
        <f>'DOE25'!K205+'DOE25'!K223+'DOE25'!K241</f>
        <v>4132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1577047.5</v>
      </c>
      <c r="D14" s="20">
        <f>'DOE25'!L207+'DOE25'!L225+'DOE25'!L243-F14-G14</f>
        <v>1544492.61</v>
      </c>
      <c r="E14" s="243"/>
      <c r="F14" s="255">
        <f>'DOE25'!J207+'DOE25'!J225+'DOE25'!J243</f>
        <v>32554.89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907167.44</v>
      </c>
      <c r="D15" s="20">
        <f>'DOE25'!L208+'DOE25'!L226+'DOE25'!L244-F15-G15</f>
        <v>907167.44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313576</v>
      </c>
      <c r="D22" s="243"/>
      <c r="E22" s="243"/>
      <c r="F22" s="255">
        <f>'DOE25'!L255+'DOE25'!L336</f>
        <v>313576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723374.94</v>
      </c>
      <c r="D25" s="243"/>
      <c r="E25" s="243"/>
      <c r="F25" s="258"/>
      <c r="G25" s="256"/>
      <c r="H25" s="257">
        <f>'DOE25'!L260+'DOE25'!L261+'DOE25'!L341+'DOE25'!L342</f>
        <v>723374.94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237291.72000000003</v>
      </c>
      <c r="D29" s="20">
        <f>'DOE25'!L358+'DOE25'!L359+'DOE25'!L360-'DOE25'!I367-F29-G29</f>
        <v>233008.13000000003</v>
      </c>
      <c r="E29" s="243"/>
      <c r="F29" s="255">
        <f>'DOE25'!J358+'DOE25'!J359+'DOE25'!J360</f>
        <v>0</v>
      </c>
      <c r="G29" s="53">
        <f>'DOE25'!K358+'DOE25'!K359+'DOE25'!K360</f>
        <v>4283.59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474310.96</v>
      </c>
      <c r="D31" s="20">
        <f>'DOE25'!L290+'DOE25'!L309+'DOE25'!L328+'DOE25'!L333+'DOE25'!L334+'DOE25'!L335-F31-G31</f>
        <v>464637.73000000004</v>
      </c>
      <c r="E31" s="243"/>
      <c r="F31" s="255">
        <f>'DOE25'!J290+'DOE25'!J309+'DOE25'!J328+'DOE25'!J333+'DOE25'!J334+'DOE25'!J335</f>
        <v>673.97</v>
      </c>
      <c r="G31" s="53">
        <f>'DOE25'!K290+'DOE25'!K309+'DOE25'!K328+'DOE25'!K333+'DOE25'!K334+'DOE25'!K335</f>
        <v>8999.26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19285156.73</v>
      </c>
      <c r="E33" s="246">
        <f>SUM(E5:E31)</f>
        <v>338795.41</v>
      </c>
      <c r="F33" s="246">
        <f>SUM(F5:F31)</f>
        <v>467738.93999999994</v>
      </c>
      <c r="G33" s="246">
        <f>SUM(G5:G31)</f>
        <v>31263.79</v>
      </c>
      <c r="H33" s="246">
        <f>SUM(H5:H31)</f>
        <v>723374.94</v>
      </c>
    </row>
    <row r="35" spans="2:8" ht="12" thickBot="1" x14ac:dyDescent="0.25">
      <c r="B35" s="253" t="s">
        <v>841</v>
      </c>
      <c r="D35" s="254">
        <f>E33</f>
        <v>338795.41</v>
      </c>
      <c r="E35" s="249"/>
    </row>
    <row r="36" spans="2:8" ht="12" thickTop="1" x14ac:dyDescent="0.2">
      <c r="B36" t="s">
        <v>809</v>
      </c>
      <c r="D36" s="20">
        <f>D33</f>
        <v>19285156.73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17" activePane="bottomLeft" state="frozen"/>
      <selection activeCell="F46" sqref="F46"/>
      <selection pane="bottomLeft" activeCell="C48" sqref="C48"/>
    </sheetView>
  </sheetViews>
  <sheetFormatPr defaultColWidth="8.6640625"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School District - SAU 90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742156.19</v>
      </c>
      <c r="D8" s="95">
        <f>'DOE25'!G9</f>
        <v>0</v>
      </c>
      <c r="E8" s="95">
        <f>'DOE25'!H9</f>
        <v>0</v>
      </c>
      <c r="F8" s="95">
        <f>'DOE25'!I9</f>
        <v>794734.54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18271071.609999999</v>
      </c>
      <c r="G9" s="95">
        <f>'DOE25'!J10</f>
        <v>231478.29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7812.01</v>
      </c>
      <c r="D11" s="95">
        <f>'DOE25'!G12</f>
        <v>17982.060000000001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8330.7900000000009</v>
      </c>
      <c r="D12" s="95">
        <f>'DOE25'!G13</f>
        <v>0</v>
      </c>
      <c r="E12" s="95">
        <f>'DOE25'!H13</f>
        <v>7812.01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3200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761498.99</v>
      </c>
      <c r="D18" s="41">
        <f>SUM(D8:D17)</f>
        <v>17982.060000000001</v>
      </c>
      <c r="E18" s="41">
        <f>SUM(E8:E17)</f>
        <v>7812.01</v>
      </c>
      <c r="F18" s="41">
        <f>SUM(F8:F17)</f>
        <v>19065806.149999999</v>
      </c>
      <c r="G18" s="41">
        <f>SUM(G8:G17)</f>
        <v>231478.29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17982.060000000001</v>
      </c>
      <c r="D21" s="95">
        <f>'DOE25'!G22</f>
        <v>0</v>
      </c>
      <c r="E21" s="95">
        <f>'DOE25'!H22</f>
        <v>7812.01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98694.44</v>
      </c>
      <c r="D23" s="95">
        <f>'DOE25'!G24</f>
        <v>0</v>
      </c>
      <c r="E23" s="95">
        <f>'DOE25'!H24</f>
        <v>0</v>
      </c>
      <c r="F23" s="95">
        <f>'DOE25'!I24</f>
        <v>24500.49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661741.53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58670.82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73000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248347.32</v>
      </c>
      <c r="D31" s="41">
        <f>SUM(D21:D30)</f>
        <v>0</v>
      </c>
      <c r="E31" s="41">
        <f>SUM(E21:E30)</f>
        <v>7812.01</v>
      </c>
      <c r="F31" s="41">
        <f>SUM(F21:F30)</f>
        <v>686242.02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17982.060000000001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18379564.129999999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52426.5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231478.29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168201.27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292523.90000000002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513151.67000000004</v>
      </c>
      <c r="D50" s="41">
        <f>SUM(D34:D49)</f>
        <v>17982.060000000001</v>
      </c>
      <c r="E50" s="41">
        <f>SUM(E34:E49)</f>
        <v>0</v>
      </c>
      <c r="F50" s="41">
        <f>SUM(F34:F49)</f>
        <v>18379564.129999999</v>
      </c>
      <c r="G50" s="41">
        <f>SUM(G34:G49)</f>
        <v>231478.29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761498.99</v>
      </c>
      <c r="D51" s="41">
        <f>D50+D31</f>
        <v>17982.060000000001</v>
      </c>
      <c r="E51" s="41">
        <f>E50+E31</f>
        <v>7812.01</v>
      </c>
      <c r="F51" s="41">
        <f>F50+F31</f>
        <v>19065806.149999999</v>
      </c>
      <c r="G51" s="41">
        <f>G50+G31</f>
        <v>231478.29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14881440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27271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3806.2</v>
      </c>
      <c r="D59" s="95">
        <f>'DOE25'!G96</f>
        <v>0</v>
      </c>
      <c r="E59" s="95">
        <f>'DOE25'!H96</f>
        <v>0</v>
      </c>
      <c r="F59" s="95">
        <f>'DOE25'!I96</f>
        <v>59434.43</v>
      </c>
      <c r="G59" s="95">
        <f>'DOE25'!J96</f>
        <v>3995.79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263140.33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88561.91</v>
      </c>
      <c r="D61" s="95">
        <f>SUM('DOE25'!G98:G110)</f>
        <v>0</v>
      </c>
      <c r="E61" s="95">
        <f>SUM('DOE25'!H98:H110)</f>
        <v>0</v>
      </c>
      <c r="F61" s="95">
        <f>SUM('DOE25'!I98:I110)</f>
        <v>10000</v>
      </c>
      <c r="G61" s="95">
        <f>SUM('DOE25'!J98:J110)</f>
        <v>192.84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119639.11</v>
      </c>
      <c r="D62" s="130">
        <f>SUM(D57:D61)</f>
        <v>263140.33</v>
      </c>
      <c r="E62" s="130">
        <f>SUM(E57:E61)</f>
        <v>0</v>
      </c>
      <c r="F62" s="130">
        <f>SUM(F57:F61)</f>
        <v>69434.429999999993</v>
      </c>
      <c r="G62" s="130">
        <f>SUM(G57:G61)</f>
        <v>4188.63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15001079.109999999</v>
      </c>
      <c r="D63" s="22">
        <f>D56+D62</f>
        <v>263140.33</v>
      </c>
      <c r="E63" s="22">
        <f>E56+E62</f>
        <v>0</v>
      </c>
      <c r="F63" s="22">
        <f>F56+F62</f>
        <v>69434.429999999993</v>
      </c>
      <c r="G63" s="22">
        <f>G56+G62</f>
        <v>4188.63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4777402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5728.42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4783130.42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38329.360000000001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76098.66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6464.14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114428.02</v>
      </c>
      <c r="D78" s="130">
        <f>SUM(D72:D77)</f>
        <v>6464.14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4897558.4399999995</v>
      </c>
      <c r="D81" s="130">
        <f>SUM(D79:D80)+D78+D70</f>
        <v>6464.14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98908.479999999996</v>
      </c>
      <c r="D88" s="95">
        <f>SUM('DOE25'!G153:G161)</f>
        <v>134548.72</v>
      </c>
      <c r="E88" s="95">
        <f>SUM('DOE25'!H153:H161)</f>
        <v>474310.96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98908.479999999996</v>
      </c>
      <c r="D91" s="131">
        <f>SUM(D85:D90)</f>
        <v>134548.72</v>
      </c>
      <c r="E91" s="131">
        <f>SUM(E85:E90)</f>
        <v>474310.96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25950000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25950000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19997546.029999997</v>
      </c>
      <c r="D104" s="86">
        <f>D63+D81+D91+D103</f>
        <v>404153.19000000006</v>
      </c>
      <c r="E104" s="86">
        <f>E63+E81+E91+E103</f>
        <v>474310.96</v>
      </c>
      <c r="F104" s="86">
        <f>F63+F81+F91+F103</f>
        <v>26019434.43</v>
      </c>
      <c r="G104" s="86">
        <f>G63+G81+G103</f>
        <v>4188.63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8999922.1899999976</v>
      </c>
      <c r="D109" s="24" t="s">
        <v>286</v>
      </c>
      <c r="E109" s="95">
        <f>('DOE25'!L276)+('DOE25'!L295)+('DOE25'!L314)</f>
        <v>85106.559999999998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2867513.4299999997</v>
      </c>
      <c r="D110" s="24" t="s">
        <v>286</v>
      </c>
      <c r="E110" s="95">
        <f>('DOE25'!L277)+('DOE25'!L296)+('DOE25'!L315)</f>
        <v>260061.08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159348.96000000002</v>
      </c>
      <c r="D112" s="24" t="s">
        <v>286</v>
      </c>
      <c r="E112" s="95">
        <f>+('DOE25'!L279)+('DOE25'!L298)+('DOE25'!L317)</f>
        <v>800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39729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12066513.579999998</v>
      </c>
      <c r="D115" s="86">
        <f>SUM(D109:D114)</f>
        <v>0</v>
      </c>
      <c r="E115" s="86">
        <f>SUM(E109:E114)</f>
        <v>345967.64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1685498.62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1230537.98</v>
      </c>
      <c r="D119" s="24" t="s">
        <v>286</v>
      </c>
      <c r="E119" s="95">
        <f>+('DOE25'!L282)+('DOE25'!L301)+('DOE25'!L320)</f>
        <v>120273.18999999999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652895.59999999986</v>
      </c>
      <c r="D120" s="24" t="s">
        <v>286</v>
      </c>
      <c r="E120" s="95">
        <f>+('DOE25'!L283)+('DOE25'!L302)+('DOE25'!L321)</f>
        <v>2849.1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1004994.47</v>
      </c>
      <c r="D121" s="24" t="s">
        <v>286</v>
      </c>
      <c r="E121" s="95">
        <f>+('DOE25'!L284)+('DOE25'!L303)+('DOE25'!L322)</f>
        <v>5221.03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1577047.5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907167.44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416586.41000000003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7058141.6099999994</v>
      </c>
      <c r="D128" s="86">
        <f>SUM(D118:D127)</f>
        <v>416586.41000000003</v>
      </c>
      <c r="E128" s="86">
        <f>SUM(E118:E127)</f>
        <v>128343.31999999999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313576</v>
      </c>
      <c r="D130" s="24" t="s">
        <v>286</v>
      </c>
      <c r="E130" s="129">
        <f>'DOE25'!L336</f>
        <v>0</v>
      </c>
      <c r="F130" s="129">
        <f>SUM('DOE25'!L374:'DOE25'!L380)</f>
        <v>7639870.2999999998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130000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593374.93999999994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4188.63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-4188.63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1036950.94</v>
      </c>
      <c r="D144" s="141">
        <f>SUM(D130:D143)</f>
        <v>0</v>
      </c>
      <c r="E144" s="141">
        <f>SUM(E130:E143)</f>
        <v>0</v>
      </c>
      <c r="F144" s="141">
        <f>SUM(F130:F143)</f>
        <v>7639870.2999999998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20161606.129999999</v>
      </c>
      <c r="D145" s="86">
        <f>(D115+D128+D144)</f>
        <v>416586.41000000003</v>
      </c>
      <c r="E145" s="86">
        <f>(E115+E128+E144)</f>
        <v>474310.96</v>
      </c>
      <c r="F145" s="86">
        <f>(F115+F128+F144)</f>
        <v>7639870.2999999998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07/98</v>
      </c>
      <c r="C152" s="152" t="str">
        <f>'DOE25'!G491</f>
        <v>07/17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08/18</v>
      </c>
      <c r="C153" s="152" t="str">
        <f>'DOE25'!G492</f>
        <v>08/42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1770000</v>
      </c>
      <c r="C154" s="137">
        <f>'DOE25'!G493</f>
        <v>23701700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4.91</v>
      </c>
      <c r="C155" s="137">
        <f>'DOE25'!G494</f>
        <v>3.1509999999999998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265000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265000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23701700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23701700</v>
      </c>
    </row>
    <row r="158" spans="1:9" x14ac:dyDescent="0.2">
      <c r="A158" s="22" t="s">
        <v>34</v>
      </c>
      <c r="B158" s="137">
        <f>'DOE25'!F497</f>
        <v>130000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130000</v>
      </c>
    </row>
    <row r="159" spans="1:9" x14ac:dyDescent="0.2">
      <c r="A159" s="22" t="s">
        <v>35</v>
      </c>
      <c r="B159" s="137">
        <f>'DOE25'!F498</f>
        <v>135000</v>
      </c>
      <c r="C159" s="137">
        <f>'DOE25'!G498</f>
        <v>23701700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23836700</v>
      </c>
    </row>
    <row r="160" spans="1:9" x14ac:dyDescent="0.2">
      <c r="A160" s="22" t="s">
        <v>36</v>
      </c>
      <c r="B160" s="137">
        <f>'DOE25'!F499</f>
        <v>3375</v>
      </c>
      <c r="C160" s="137">
        <f>'DOE25'!G499</f>
        <v>13630643.350000001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13634018.350000001</v>
      </c>
    </row>
    <row r="161" spans="1:7" x14ac:dyDescent="0.2">
      <c r="A161" s="22" t="s">
        <v>37</v>
      </c>
      <c r="B161" s="137">
        <f>'DOE25'!F500</f>
        <v>138375</v>
      </c>
      <c r="C161" s="137">
        <f>'DOE25'!G500</f>
        <v>37332343.350000001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37470718.350000001</v>
      </c>
    </row>
    <row r="162" spans="1:7" x14ac:dyDescent="0.2">
      <c r="A162" s="22" t="s">
        <v>38</v>
      </c>
      <c r="B162" s="137">
        <f>'DOE25'!F501</f>
        <v>135000</v>
      </c>
      <c r="C162" s="137">
        <f>'DOE25'!G501</f>
        <v>526700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661700</v>
      </c>
    </row>
    <row r="163" spans="1:7" x14ac:dyDescent="0.2">
      <c r="A163" s="22" t="s">
        <v>39</v>
      </c>
      <c r="B163" s="137">
        <f>'DOE25'!F502</f>
        <v>3375</v>
      </c>
      <c r="C163" s="137">
        <f>'DOE25'!G502</f>
        <v>977205.85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980580.85</v>
      </c>
    </row>
    <row r="164" spans="1:7" x14ac:dyDescent="0.2">
      <c r="A164" s="22" t="s">
        <v>246</v>
      </c>
      <c r="B164" s="137">
        <f>'DOE25'!F503</f>
        <v>138375</v>
      </c>
      <c r="C164" s="137">
        <f>'DOE25'!G503</f>
        <v>1503905.85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1642280.85</v>
      </c>
    </row>
  </sheetData>
  <sheetProtection password="970A" sheet="1" objects="1" scenarios="1"/>
  <phoneticPr fontId="0" type="noConversion"/>
  <printOptions horizontalCentered="1"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I15" sqref="I15"/>
    </sheetView>
  </sheetViews>
  <sheetFormatPr defaultColWidth="8.6640625" defaultRowHeight="11.25" x14ac:dyDescent="0.2"/>
  <cols>
    <col min="1" max="1" width="14.1640625" customWidth="1"/>
    <col min="2" max="2" width="49" bestFit="1" customWidth="1"/>
    <col min="3" max="3" width="12.1640625" bestFit="1" customWidth="1"/>
    <col min="4" max="4" width="10.16406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Hampton School District - SAU 90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16730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16730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9085029</v>
      </c>
      <c r="D10" s="182">
        <f>ROUND((C10/$C$28)*100,1)</f>
        <v>44.7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3127575</v>
      </c>
      <c r="D11" s="182">
        <f>ROUND((C11/$C$28)*100,1)</f>
        <v>15.4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160149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1685499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1350811</v>
      </c>
      <c r="D16" s="182">
        <f t="shared" si="0"/>
        <v>6.6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655745</v>
      </c>
      <c r="D17" s="182">
        <f t="shared" si="0"/>
        <v>3.2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1010216</v>
      </c>
      <c r="D18" s="182">
        <f t="shared" si="0"/>
        <v>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1577048</v>
      </c>
      <c r="D20" s="182">
        <f t="shared" si="0"/>
        <v>7.8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907167</v>
      </c>
      <c r="D21" s="182">
        <f t="shared" si="0"/>
        <v>4.5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39729</v>
      </c>
      <c r="D23" s="182">
        <f t="shared" si="0"/>
        <v>0.2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593375</v>
      </c>
      <c r="D25" s="182">
        <f t="shared" si="0"/>
        <v>2.9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153445.66999999998</v>
      </c>
      <c r="D27" s="182">
        <f t="shared" si="0"/>
        <v>0.8</v>
      </c>
    </row>
    <row r="28" spans="1:4" x14ac:dyDescent="0.2">
      <c r="B28" s="187" t="s">
        <v>717</v>
      </c>
      <c r="C28" s="180">
        <f>SUM(C10:C27)</f>
        <v>20345788.670000002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7953446</v>
      </c>
    </row>
    <row r="30" spans="1:4" x14ac:dyDescent="0.2">
      <c r="B30" s="187" t="s">
        <v>723</v>
      </c>
      <c r="C30" s="180">
        <f>SUM(C28:C29)</f>
        <v>28299234.670000002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130000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14881440</v>
      </c>
      <c r="D35" s="182">
        <f t="shared" ref="D35:D40" si="1">ROUND((C35/$C$41)*100,1)</f>
        <v>64.900000000000006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2441562.1700000018</v>
      </c>
      <c r="D36" s="182">
        <f t="shared" si="1"/>
        <v>10.6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4777402</v>
      </c>
      <c r="D37" s="182">
        <f t="shared" si="1"/>
        <v>20.8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126621</v>
      </c>
      <c r="D38" s="182">
        <f t="shared" si="1"/>
        <v>0.6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707768</v>
      </c>
      <c r="D39" s="182">
        <f t="shared" si="1"/>
        <v>3.1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22934793.170000002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23701700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ColWidth="8.6640625" defaultRowHeight="11.25" x14ac:dyDescent="0.2"/>
  <cols>
    <col min="1" max="1" width="10.16406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Hampton School District - SAU 90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5</v>
      </c>
      <c r="B4" s="219">
        <v>14</v>
      </c>
      <c r="C4" s="285" t="s">
        <v>917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2018-09-11T21:27:02Z</cp:lastPrinted>
  <dcterms:created xsi:type="dcterms:W3CDTF">1997-12-04T19:04:30Z</dcterms:created>
  <dcterms:modified xsi:type="dcterms:W3CDTF">2018-11-13T19:48:36Z</dcterms:modified>
</cp:coreProperties>
</file>