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1575" yWindow="480" windowWidth="22155" windowHeight="1138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21" i="1" l="1"/>
  <c r="G521" i="1"/>
  <c r="F521" i="1"/>
  <c r="G531" i="1"/>
  <c r="C21" i="12"/>
  <c r="C19" i="12"/>
  <c r="C20" i="12"/>
  <c r="C12" i="12"/>
  <c r="C10" i="12"/>
  <c r="F582" i="1" l="1"/>
  <c r="F531" i="1"/>
  <c r="B20" i="12"/>
  <c r="B10" i="12"/>
  <c r="B21" i="12"/>
  <c r="B19" i="12"/>
  <c r="B12" i="12"/>
  <c r="H603" i="1" l="1"/>
  <c r="H604" i="1" l="1"/>
  <c r="F197" i="1"/>
  <c r="H203" i="1"/>
  <c r="I203" i="1"/>
  <c r="H208" i="1"/>
  <c r="H207" i="1"/>
  <c r="H204" i="1"/>
  <c r="F203" i="1"/>
  <c r="F202" i="1"/>
  <c r="F186" i="1"/>
  <c r="F110" i="1"/>
  <c r="F29" i="1"/>
  <c r="F9" i="1"/>
  <c r="G276" i="1" l="1"/>
  <c r="G283" i="1"/>
  <c r="G279" i="1"/>
  <c r="G277" i="1"/>
  <c r="F283" i="1"/>
  <c r="F277" i="1"/>
  <c r="H159" i="1"/>
  <c r="H154" i="1"/>
  <c r="J96" i="1"/>
  <c r="F367" i="1"/>
  <c r="J468" i="1"/>
  <c r="H397" i="1"/>
  <c r="H396" i="1"/>
  <c r="H399" i="1"/>
  <c r="I358" i="1"/>
  <c r="H358" i="1"/>
  <c r="F35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C119" i="2" s="1"/>
  <c r="L221" i="1"/>
  <c r="L239" i="1"/>
  <c r="F12" i="13"/>
  <c r="G12" i="13"/>
  <c r="L205" i="1"/>
  <c r="C121" i="2" s="1"/>
  <c r="L223" i="1"/>
  <c r="L241" i="1"/>
  <c r="F14" i="13"/>
  <c r="G14" i="13"/>
  <c r="L207" i="1"/>
  <c r="D14" i="13" s="1"/>
  <c r="C14" i="13" s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E110" i="2" s="1"/>
  <c r="L278" i="1"/>
  <c r="L279" i="1"/>
  <c r="L281" i="1"/>
  <c r="L282" i="1"/>
  <c r="L283" i="1"/>
  <c r="E120" i="2" s="1"/>
  <c r="E128" i="2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2" i="10"/>
  <c r="C13" i="10"/>
  <c r="C16" i="10"/>
  <c r="C18" i="10"/>
  <c r="C19" i="10"/>
  <c r="C20" i="10"/>
  <c r="L250" i="1"/>
  <c r="L332" i="1"/>
  <c r="E113" i="2" s="1"/>
  <c r="L254" i="1"/>
  <c r="C25" i="10"/>
  <c r="L268" i="1"/>
  <c r="L269" i="1"/>
  <c r="L349" i="1"/>
  <c r="L350" i="1"/>
  <c r="I665" i="1"/>
  <c r="I670" i="1"/>
  <c r="L229" i="1"/>
  <c r="L247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C62" i="2" s="1"/>
  <c r="C63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C78" i="2" s="1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C111" i="2"/>
  <c r="E111" i="2"/>
  <c r="E112" i="2"/>
  <c r="C113" i="2"/>
  <c r="C114" i="2"/>
  <c r="E114" i="2"/>
  <c r="D115" i="2"/>
  <c r="F115" i="2"/>
  <c r="G115" i="2"/>
  <c r="E118" i="2"/>
  <c r="E119" i="2"/>
  <c r="E121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H257" i="1" s="1"/>
  <c r="H271" i="1" s="1"/>
  <c r="I211" i="1"/>
  <c r="I257" i="1" s="1"/>
  <c r="I271" i="1" s="1"/>
  <c r="J211" i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L256" i="1" s="1"/>
  <c r="K256" i="1"/>
  <c r="F257" i="1"/>
  <c r="F271" i="1" s="1"/>
  <c r="L270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I460" i="1"/>
  <c r="F461" i="1"/>
  <c r="G461" i="1"/>
  <c r="H640" i="1" s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G545" i="1" s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H545" i="1" s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2" i="1"/>
  <c r="G623" i="1"/>
  <c r="G625" i="1"/>
  <c r="H627" i="1"/>
  <c r="H628" i="1"/>
  <c r="H629" i="1"/>
  <c r="H630" i="1"/>
  <c r="H631" i="1"/>
  <c r="H632" i="1"/>
  <c r="H633" i="1"/>
  <c r="G634" i="1"/>
  <c r="H634" i="1"/>
  <c r="J634" i="1" s="1"/>
  <c r="H635" i="1"/>
  <c r="H636" i="1"/>
  <c r="H637" i="1"/>
  <c r="H638" i="1"/>
  <c r="G639" i="1"/>
  <c r="H639" i="1"/>
  <c r="G641" i="1"/>
  <c r="H641" i="1"/>
  <c r="H642" i="1"/>
  <c r="G643" i="1"/>
  <c r="H643" i="1"/>
  <c r="G644" i="1"/>
  <c r="G645" i="1"/>
  <c r="G650" i="1"/>
  <c r="G651" i="1"/>
  <c r="G652" i="1"/>
  <c r="H652" i="1"/>
  <c r="G653" i="1"/>
  <c r="H653" i="1"/>
  <c r="G654" i="1"/>
  <c r="H654" i="1"/>
  <c r="H655" i="1"/>
  <c r="J655" i="1" s="1"/>
  <c r="F192" i="1"/>
  <c r="C26" i="10"/>
  <c r="L328" i="1"/>
  <c r="H660" i="1" s="1"/>
  <c r="L351" i="1"/>
  <c r="A31" i="12"/>
  <c r="C70" i="2"/>
  <c r="D18" i="13"/>
  <c r="C18" i="13" s="1"/>
  <c r="D18" i="2"/>
  <c r="D17" i="13"/>
  <c r="C17" i="13" s="1"/>
  <c r="F78" i="2"/>
  <c r="F81" i="2" s="1"/>
  <c r="G157" i="2"/>
  <c r="F18" i="2"/>
  <c r="G156" i="2"/>
  <c r="E103" i="2"/>
  <c r="D91" i="2"/>
  <c r="E62" i="2"/>
  <c r="E63" i="2" s="1"/>
  <c r="G62" i="2"/>
  <c r="D19" i="13"/>
  <c r="C19" i="13" s="1"/>
  <c r="E13" i="13"/>
  <c r="C13" i="13" s="1"/>
  <c r="E78" i="2"/>
  <c r="E81" i="2" s="1"/>
  <c r="H112" i="1"/>
  <c r="F112" i="1"/>
  <c r="J641" i="1"/>
  <c r="J639" i="1"/>
  <c r="J571" i="1"/>
  <c r="K571" i="1"/>
  <c r="L433" i="1"/>
  <c r="L419" i="1"/>
  <c r="D81" i="2"/>
  <c r="I169" i="1"/>
  <c r="G552" i="1"/>
  <c r="J643" i="1"/>
  <c r="H476" i="1"/>
  <c r="H624" i="1" s="1"/>
  <c r="F476" i="1"/>
  <c r="H622" i="1" s="1"/>
  <c r="J622" i="1" s="1"/>
  <c r="I476" i="1"/>
  <c r="H625" i="1" s="1"/>
  <c r="G476" i="1"/>
  <c r="H623" i="1" s="1"/>
  <c r="F169" i="1"/>
  <c r="J140" i="1"/>
  <c r="F571" i="1"/>
  <c r="I552" i="1"/>
  <c r="K550" i="1"/>
  <c r="G22" i="2"/>
  <c r="K545" i="1"/>
  <c r="C29" i="10"/>
  <c r="H140" i="1"/>
  <c r="L393" i="1"/>
  <c r="F22" i="13"/>
  <c r="J651" i="1"/>
  <c r="H571" i="1"/>
  <c r="L560" i="1"/>
  <c r="J545" i="1"/>
  <c r="G192" i="1"/>
  <c r="H192" i="1"/>
  <c r="C35" i="10"/>
  <c r="L309" i="1"/>
  <c r="L570" i="1"/>
  <c r="I571" i="1"/>
  <c r="I545" i="1"/>
  <c r="J636" i="1"/>
  <c r="G36" i="2"/>
  <c r="L565" i="1"/>
  <c r="K551" i="1"/>
  <c r="C22" i="13"/>
  <c r="C138" i="2"/>
  <c r="A40" i="12" l="1"/>
  <c r="L427" i="1"/>
  <c r="L545" i="1"/>
  <c r="K549" i="1"/>
  <c r="K552" i="1" s="1"/>
  <c r="A13" i="12"/>
  <c r="J625" i="1"/>
  <c r="K598" i="1"/>
  <c r="G647" i="1" s="1"/>
  <c r="E16" i="13"/>
  <c r="C16" i="13" s="1"/>
  <c r="H25" i="13"/>
  <c r="C124" i="2"/>
  <c r="G649" i="1"/>
  <c r="J649" i="1" s="1"/>
  <c r="F662" i="1"/>
  <c r="I662" i="1" s="1"/>
  <c r="D15" i="13"/>
  <c r="C15" i="13" s="1"/>
  <c r="H647" i="1"/>
  <c r="J257" i="1"/>
  <c r="J271" i="1" s="1"/>
  <c r="C123" i="2"/>
  <c r="D7" i="13"/>
  <c r="C7" i="13" s="1"/>
  <c r="D6" i="13"/>
  <c r="C6" i="13" s="1"/>
  <c r="C118" i="2"/>
  <c r="D12" i="13"/>
  <c r="C12" i="13" s="1"/>
  <c r="E8" i="13"/>
  <c r="C8" i="13" s="1"/>
  <c r="C115" i="2"/>
  <c r="L211" i="1"/>
  <c r="L257" i="1" s="1"/>
  <c r="L271" i="1" s="1"/>
  <c r="G632" i="1" s="1"/>
  <c r="J632" i="1" s="1"/>
  <c r="D5" i="13"/>
  <c r="C5" i="13" s="1"/>
  <c r="C81" i="2"/>
  <c r="J617" i="1"/>
  <c r="C18" i="2"/>
  <c r="G338" i="1"/>
  <c r="G352" i="1" s="1"/>
  <c r="F338" i="1"/>
  <c r="F352" i="1" s="1"/>
  <c r="C11" i="10"/>
  <c r="E115" i="2"/>
  <c r="E145" i="2" s="1"/>
  <c r="C17" i="10"/>
  <c r="L290" i="1"/>
  <c r="C10" i="10"/>
  <c r="H52" i="1"/>
  <c r="H619" i="1" s="1"/>
  <c r="J619" i="1" s="1"/>
  <c r="G624" i="1"/>
  <c r="J624" i="1" s="1"/>
  <c r="J644" i="1"/>
  <c r="J640" i="1"/>
  <c r="J476" i="1"/>
  <c r="H626" i="1" s="1"/>
  <c r="I446" i="1"/>
  <c r="G642" i="1" s="1"/>
  <c r="L401" i="1"/>
  <c r="C139" i="2" s="1"/>
  <c r="J645" i="1"/>
  <c r="D127" i="2"/>
  <c r="D128" i="2" s="1"/>
  <c r="D145" i="2" s="1"/>
  <c r="G661" i="1"/>
  <c r="L362" i="1"/>
  <c r="C27" i="10" s="1"/>
  <c r="D29" i="13"/>
  <c r="C29" i="13" s="1"/>
  <c r="H664" i="1"/>
  <c r="H667" i="1" s="1"/>
  <c r="F661" i="1"/>
  <c r="J623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F33" i="13"/>
  <c r="G18" i="2"/>
  <c r="F545" i="1"/>
  <c r="H434" i="1"/>
  <c r="J620" i="1"/>
  <c r="D103" i="2"/>
  <c r="D104" i="2" s="1"/>
  <c r="I140" i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E33" i="13" l="1"/>
  <c r="D35" i="13" s="1"/>
  <c r="F104" i="2"/>
  <c r="I193" i="1"/>
  <c r="G630" i="1" s="1"/>
  <c r="J630" i="1" s="1"/>
  <c r="J647" i="1"/>
  <c r="C25" i="13"/>
  <c r="H33" i="13"/>
  <c r="C128" i="2"/>
  <c r="C145" i="2" s="1"/>
  <c r="F660" i="1"/>
  <c r="F664" i="1" s="1"/>
  <c r="F672" i="1" s="1"/>
  <c r="C4" i="10" s="1"/>
  <c r="C104" i="2"/>
  <c r="L338" i="1"/>
  <c r="L352" i="1" s="1"/>
  <c r="G633" i="1" s="1"/>
  <c r="J633" i="1" s="1"/>
  <c r="D31" i="13"/>
  <c r="C31" i="13" s="1"/>
  <c r="C28" i="10"/>
  <c r="D23" i="10" s="1"/>
  <c r="L408" i="1"/>
  <c r="G104" i="2"/>
  <c r="H672" i="1"/>
  <c r="C6" i="10" s="1"/>
  <c r="G664" i="1"/>
  <c r="G635" i="1"/>
  <c r="J635" i="1" s="1"/>
  <c r="I661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D25" i="10"/>
  <c r="F667" i="1"/>
  <c r="D27" i="10"/>
  <c r="D26" i="10"/>
  <c r="D15" i="10"/>
  <c r="D20" i="10"/>
  <c r="D17" i="10"/>
  <c r="D16" i="10"/>
  <c r="D10" i="10"/>
  <c r="D12" i="10"/>
  <c r="D18" i="10"/>
  <c r="C30" i="10"/>
  <c r="D19" i="10"/>
  <c r="D13" i="10"/>
  <c r="D11" i="10"/>
  <c r="D21" i="10"/>
  <c r="D22" i="10"/>
  <c r="D24" i="10"/>
  <c r="G637" i="1"/>
  <c r="J637" i="1" s="1"/>
  <c r="H646" i="1"/>
  <c r="J646" i="1" s="1"/>
  <c r="G672" i="1"/>
  <c r="C5" i="10" s="1"/>
  <c r="G667" i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<sst xmlns="http://schemas.openxmlformats.org/spreadsheetml/2006/main" count="3960" uniqueCount="916">
  <si>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</si>
  <si>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</si>
  <si>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</si>
  <si>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</si>
  <si>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</si>
  <si>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</si>
  <si>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</si>
  <si>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</si>
  <si>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</si>
  <si>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</si>
  <si>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</si>
  <si>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</si>
  <si>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</si>
  <si>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</si>
  <si>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</si>
  <si>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</si>
  <si>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</si>
  <si>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</si>
  <si>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</si>
  <si>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</si>
  <si>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</si>
  <si>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</si>
  <si>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</si>
  <si>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</si>
  <si>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</si>
  <si>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</si>
  <si>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</si>
  <si>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</si>
  <si>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</si>
  <si>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</si>
  <si>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</si>
  <si>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</si>
  <si>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</si>
  <si>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</si>
  <si>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</si>
  <si>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</si>
  <si>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</si>
  <si>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</si>
  <si>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</si>
  <si>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</si>
  <si>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</si>
  <si>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</si>
  <si>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</si>
  <si>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</si>
  <si>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</si>
  <si>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</si>
  <si>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</si>
  <si>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</si>
  <si>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</si>
  <si>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</si>
  <si>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</si>
  <si>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</si>
  <si>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</si>
  <si>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</si>
  <si>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</si>
  <si>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</si>
  <si>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</si>
  <si>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</si>
  <si>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</si>
  <si>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</si>
  <si>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</si>
  <si>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</si>
  <si>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</si>
  <si>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</si>
  <si>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</si>
  <si>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</si>
  <si>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</si>
  <si>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</si>
  <si>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</si>
  <si>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</si>
  <si>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</si>
  <si>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</si>
  <si>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</si>
  <si>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</si>
  <si>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</si>
  <si>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</si>
  <si>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</si>
  <si>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</si>
  <si>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</si>
  <si>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</si>
  <si>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</si>
  <si>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</si>
  <si>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</si>
  <si>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</si>
  <si>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</si>
  <si>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</si>
  <si>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</si>
  <si>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</si>
  <si>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</si>
  <si>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</si>
  <si>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</si>
  <si>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</si>
  <si>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</si>
  <si>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</si>
  <si>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</si>
  <si>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</si>
  <si>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</si>
  <si>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</si>
  <si>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</si>
  <si>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</si>
  <si>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</si>
  <si>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</si>
  <si>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</si>
  <si>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</si>
  <si>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</si>
  <si>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</si>
  <si>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</si>
  <si>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</si>
  <si>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</si>
  <si>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</si>
  <si>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</si>
  <si>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</si>
  <si>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</si>
  <si>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</si>
  <si>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</si>
  <si>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</si>
  <si>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</si>
  <si>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</si>
  <si>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</si>
  <si>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</si>
  <si>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</si>
  <si>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</si>
  <si>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</si>
  <si>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</si>
  <si>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</si>
  <si>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</si>
  <si>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</si>
  <si>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</si>
  <si>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</si>
  <si>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</si>
  <si>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</si>
  <si>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</si>
  <si>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</si>
  <si>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</si>
  <si>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</si>
  <si>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</si>
  <si>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</si>
  <si>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</si>
  <si>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</si>
  <si>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</si>
  <si>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</si>
  <si>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</si>
  <si>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</si>
  <si>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</si>
  <si>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</si>
  <si>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</si>
  <si>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</si>
  <si>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</si>
  <si>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</si>
  <si>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</si>
  <si>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</si>
  <si>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</si>
  <si>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</si>
  <si>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</si>
  <si>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</si>
  <si>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</si>
  <si>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</si>
  <si>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</si>
  <si>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</si>
  <si>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</si>
  <si>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</si>
  <si>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</si>
  <si>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</si>
  <si>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</si>
  <si>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</si>
  <si>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</si>
  <si>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</si>
  <si>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</si>
  <si>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</si>
  <si>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</si>
  <si>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</si>
  <si>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</si>
  <si>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</si>
  <si>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</si>
  <si>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</si>
  <si>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</si>
  <si>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</si>
  <si>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</si>
  <si>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</si>
  <si>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</si>
  <si>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</si>
  <si>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</si>
  <si>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</si>
  <si>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</si>
  <si>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</si>
  <si>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</si>
  <si>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</si>
  <si>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</si>
  <si>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</si>
  <si>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</si>
  <si>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</si>
  <si>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</si>
  <si>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</si>
  <si>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</si>
  <si>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</si>
  <si>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</si>
  <si>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</si>
  <si>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</si>
  <si>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</si>
  <si>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</si>
  <si>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</si>
  <si>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</si>
  <si>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</si>
  <si>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</si>
  <si>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</si>
  <si>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</si>
  <si>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</si>
  <si>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</si>
  <si>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</si>
  <si>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</si>
  <si>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</si>
  <si>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</si>
  <si>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</si>
  <si>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</si>
  <si>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</si>
  <si>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</si>
  <si>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</si>
  <si>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</si>
  <si>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</si>
  <si>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</si>
  <si>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</si>
  <si>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</si>
  <si>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</si>
  <si>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</si>
  <si>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</si>
  <si>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</si>
  <si>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</si>
  <si>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</si>
  <si>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</si>
  <si>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</si>
  <si>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</si>
  <si>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</si>
  <si>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</si>
  <si>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</si>
  <si>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</si>
  <si>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</si>
  <si>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</si>
  <si>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</si>
  <si>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</si>
  <si>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</si>
  <si>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</si>
  <si>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</si>
  <si>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</si>
  <si>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</si>
  <si>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</si>
  <si>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</si>
  <si>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</si>
  <si>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</si>
  <si>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</si>
  <si>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</si>
  <si>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</si>
  <si>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</si>
  <si>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</si>
  <si>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</si>
  <si>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</si>
  <si>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</si>
  <si>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</si>
  <si>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</si>
  <si>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</si>
  <si>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</si>
  <si>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</si>
  <si>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</si>
  <si>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</si>
  <si>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</si>
  <si>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</si>
  <si>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</si>
  <si>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</si>
  <si>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</si>
  <si>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</si>
  <si>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</si>
  <si>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</si>
  <si>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</si>
  <si>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</si>
  <si>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</si>
  <si>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</si>
  <si>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</si>
  <si>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</si>
  <si>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</si>
  <si>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</si>
  <si>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</si>
  <si>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</si>
  <si>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</si>
  <si>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</si>
  <si>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</si>
  <si>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</si>
  <si>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</si>
  <si>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</si>
  <si>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</si>
  <si>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</si>
  <si>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</si>
  <si>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</si>
  <si>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</si>
  <si>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</si>
  <si>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</si>
  <si>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</si>
  <si>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</si>
  <si>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</si>
  <si>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</si>
  <si>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</si>
  <si>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</si>
  <si>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</si>
  <si>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</si>
  <si>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</si>
  <si>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</si>
  <si>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</si>
  <si>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</si>
  <si>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</si>
  <si>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</si>
  <si>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</si>
  <si>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</si>
  <si>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</si>
  <si>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</si>
  <si>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</si>
  <si>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</si>
  <si>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</si>
  <si>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</si>
  <si>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</si>
  <si>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</si>
  <si>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</si>
  <si>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</si>
  <si>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</si>
  <si>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</si>
  <si>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</si>
  <si>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</si>
  <si>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</si>
  <si>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</si>
  <si>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</si>
  <si>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</si>
  <si>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</si>
  <si>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</si>
  <si>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</si>
  <si>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</si>
  <si>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</si>
  <si>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</si>
  <si>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</si>
  <si>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</si>
  <si>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</si>
  <si>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</si>
  <si>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</si>
  <si>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</si>
  <si>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</si>
  <si>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</si>
  <si>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</si>
  <si>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</si>
  <si>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</si>
  <si>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</si>
  <si>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</si>
  <si>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</si>
  <si>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</si>
  <si>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</si>
  <si>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</si>
  <si>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</si>
  <si>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</si>
  <si>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</si>
  <si>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</si>
  <si>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</si>
  <si>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</si>
  <si>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</si>
  <si>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</si>
  <si>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</si>
  <si>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</si>
  <si>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</si>
  <si>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</si>
  <si>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</si>
  <si>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</si>
  <si>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</si>
  <si>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</si>
  <si>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</si>
  <si>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</si>
  <si>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</si>
  <si>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</si>
  <si>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</si>
  <si>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</si>
  <si>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</si>
  <si>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</si>
  <si>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</si>
  <si>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</si>
  <si>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</si>
  <si>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</si>
  <si>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</si>
  <si>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</si>
  <si>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</si>
  <si>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</si>
  <si>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</si>
  <si>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</si>
  <si>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</si>
  <si>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</si>
  <si>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</si>
  <si>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</si>
  <si>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</si>
  <si>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</si>
  <si>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</si>
  <si>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</si>
  <si>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</si>
  <si>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</si>
  <si>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</si>
  <si>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</si>
  <si>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</si>
  <si>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</si>
  <si>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</si>
  <si>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</si>
  <si>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</si>
  <si>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</si>
  <si>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</si>
  <si>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</si>
  <si>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</si>
  <si>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</si>
  <si>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</si>
  <si>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</si>
  <si>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</si>
  <si>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</si>
  <si>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</si>
  <si>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</si>
  <si>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</si>
  <si>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</si>
  <si>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</si>
  <si>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</si>
  <si>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</si>
  <si>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</si>
  <si>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</si>
  <si>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</si>
  <si>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</si>
  <si>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</si>
  <si>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</si>
  <si>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</si>
  <si>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</si>
  <si>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</si>
  <si>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</si>
  <si>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</si>
  <si>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</si>
  <si>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</si>
  <si>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</si>
  <si>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</si>
  <si>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</si>
  <si>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</si>
  <si>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</si>
  <si>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</si>
  <si>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</si>
  <si>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</si>
  <si>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</si>
  <si>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</si>
  <si>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</si>
  <si>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</si>
  <si>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</si>
  <si>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</si>
  <si>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</si>
  <si>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</si>
  <si>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</si>
  <si>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</si>
  <si>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</si>
  <si>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</si>
  <si>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</si>
  <si>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</si>
  <si>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</si>
  <si>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</si>
  <si>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</si>
  <si>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</si>
  <si>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</si>
  <si>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</si>
  <si>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</si>
  <si>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</si>
  <si>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</si>
  <si>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</si>
  <si>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</si>
  <si>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</si>
  <si>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</si>
  <si>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</si>
  <si>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</si>
  <si>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</si>
  <si>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</si>
  <si>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</si>
  <si>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</si>
  <si>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</si>
  <si>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</si>
  <si>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</si>
  <si>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</si>
  <si>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</si>
  <si>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</si>
  <si>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</si>
  <si>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</si>
  <si>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</si>
  <si>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</si>
  <si>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</si>
  <si>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</si>
  <si>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</si>
  <si>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</si>
  <si>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</si>
  <si>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</si>
  <si>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</si>
  <si>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</si>
  <si>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</si>
  <si>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</si>
  <si>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</si>
  <si>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</si>
  <si>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</si>
  <si>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</si>
  <si>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</si>
  <si>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</si>
  <si>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</si>
  <si>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</si>
  <si>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</si>
  <si>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</si>
  <si>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</si>
  <si>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</si>
  <si>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</si>
  <si>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</si>
  <si>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</si>
  <si>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</si>
  <si>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</si>
  <si>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</si>
  <si>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</si>
  <si>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</si>
  <si>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</si>
  <si>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</si>
  <si>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</si>
  <si>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</si>
  <si>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</si>
  <si>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</si>
  <si>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</si>
  <si>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</si>
  <si>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</si>
  <si>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</si>
  <si>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</si>
  <si>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</si>
  <si>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</si>
  <si>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</si>
  <si>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</si>
  <si>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</si>
  <si>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</si>
  <si>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</si>
  <si>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</si>
  <si>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</si>
  <si>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</si>
  <si>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</si>
  <si>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</si>
  <si>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</si>
  <si>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</si>
  <si>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</si>
  <si>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</si>
  <si>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</si>
  <si>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</si>
  <si>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</si>
  <si>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</si>
  <si>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</si>
  <si>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</si>
  <si>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</si>
  <si>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</si>
  <si>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</si>
  <si>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</si>
  <si>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</si>
  <si>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</si>
  <si>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</si>
  <si>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</si>
  <si>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</si>
  <si>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</si>
  <si>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</si>
  <si>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</si>
  <si>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</si>
  <si>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</si>
  <si>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</si>
  <si>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</si>
  <si>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</si>
  <si>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</si>
  <si>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</si>
  <si>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</si>
  <si>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</si>
  <si>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</si>
  <si>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</si>
  <si>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</si>
  <si>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</si>
  <si>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</si>
  <si>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</si>
  <si>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</si>
  <si>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</si>
  <si>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</si>
  <si>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</si>
  <si>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</si>
  <si>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</si>
  <si>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</si>
  <si>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</si>
  <si>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</si>
  <si>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</si>
  <si>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</si>
  <si>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</si>
  <si>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</si>
  <si>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</si>
  <si>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</si>
  <si>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</si>
  <si>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</si>
  <si>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</si>
  <si>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</si>
  <si>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</si>
  <si>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</si>
  <si>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</si>
  <si>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</si>
  <si>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</si>
  <si>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</si>
  <si>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</si>
  <si>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</si>
  <si>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</si>
  <si>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</si>
  <si>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</si>
  <si>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</si>
  <si>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</si>
  <si>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</si>
  <si>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</si>
  <si>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</si>
  <si>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</si>
  <si>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</si>
  <si>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</si>
  <si>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</si>
  <si>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</si>
  <si>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</si>
  <si>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</si>
  <si>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</si>
  <si>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</si>
  <si>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</si>
  <si>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</si>
  <si>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</si>
  <si>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</si>
  <si>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</si>
  <si>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</si>
  <si>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</si>
  <si>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</si>
  <si>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</si>
  <si>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</si>
  <si>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</si>
  <si>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</si>
  <si>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</si>
  <si>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</si>
  <si>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</si>
  <si>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</si>
  <si>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</si>
  <si>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</si>
  <si>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</si>
  <si>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</si>
  <si>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</si>
  <si>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</si>
  <si>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</si>
  <si>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</si>
  <si>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</si>
  <si>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</si>
  <si>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</si>
  <si>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</si>
  <si>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</si>
  <si>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</si>
  <si>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</si>
  <si>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</si>
  <si>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</si>
  <si>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</si>
  <si>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</si>
  <si>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</si>
  <si>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</si>
  <si>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</si>
  <si>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</si>
  <si>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</si>
  <si>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</si>
  <si>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</si>
  <si>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</si>
  <si>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</si>
  <si>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</si>
  <si>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</si>
  <si>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</si>
  <si>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</si>
  <si>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</si>
  <si>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</si>
  <si>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</si>
  <si>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</si>
  <si>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</si>
  <si>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</si>
  <si>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</si>
  <si>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</si>
  <si>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</si>
  <si>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</si>
  <si>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</si>
  <si>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</si>
  <si>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</si>
  <si>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</si>
  <si>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</si>
  <si>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</si>
  <si>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</si>
  <si>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</si>
  <si>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</si>
  <si>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</si>
  <si>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</si>
  <si>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</si>
  <si>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</si>
  <si>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</si>
  <si>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</si>
  <si>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</si>
  <si>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</si>
  <si>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</si>
  <si>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</si>
  <si>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</si>
  <si>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</si>
  <si>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</si>
  <si>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</si>
  <si>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</si>
  <si>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</si>
  <si>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</si>
  <si>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</si>
  <si>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</si>
  <si>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</si>
  <si>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</si>
  <si>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</si>
  <si>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</si>
  <si>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</si>
  <si>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</si>
  <si>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</si>
  <si>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</si>
  <si>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</si>
  <si>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</si>
  <si>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</si>
  <si>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</si>
  <si>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</si>
  <si>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</si>
  <si>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</si>
  <si>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</si>
  <si>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</si>
  <si>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</si>
  <si>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</si>
  <si>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</si>
  <si>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</si>
  <si>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</si>
  <si>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</si>
  <si>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</si>
  <si>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</si>
  <si>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</si>
  <si>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</si>
  <si>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</si>
  <si>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</si>
  <si>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</si>
  <si>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</si>
  <si>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</si>
  <si>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</si>
  <si>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</si>
  <si>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</si>
  <si>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</si>
  <si>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</si>
  <si>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</si>
  <si>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</si>
  <si>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</si>
  <si>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</si>
  <si>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</si>
  <si>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</si>
  <si>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</si>
  <si>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</si>
  <si>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</si>
  <si>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</si>
  <si>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</si>
  <si>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</si>
  <si>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</si>
  <si>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</si>
  <si>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</si>
  <si>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</si>
  <si>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</si>
  <si>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</si>
  <si>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</si>
  <si>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</si>
  <si>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</si>
  <si>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</si>
  <si>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</si>
  <si>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</si>
  <si>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</si>
  <si>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</si>
  <si>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</si>
  <si>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</si>
  <si>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</si>
  <si>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</si>
  <si>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</si>
  <si>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</si>
  <si>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</si>
  <si>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</si>
  <si>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</si>
  <si>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</si>
  <si>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</si>
  <si>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</si>
  <si>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</si>
  <si>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</si>
  <si>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</si>
  <si>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</si>
  <si>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</si>
  <si>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</si>
  <si>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</si>
  <si>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</si>
  <si>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</si>
  <si>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</si>
  <si>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</si>
  <si>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</si>
  <si>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</si>
  <si>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</si>
  <si>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</si>
  <si>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</si>
  <si>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</si>
  <si>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</si>
  <si>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</si>
  <si>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</si>
  <si>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</si>
  <si>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</si>
  <si>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</si>
  <si>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</si>
  <si>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</si>
  <si>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</si>
  <si>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</si>
  <si>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</si>
  <si>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</si>
  <si>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</si>
  <si>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</si>
  <si>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</si>
  <si>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</si>
  <si>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</si>
  <si>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</si>
  <si>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</si>
  <si>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</si>
  <si>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</si>
  <si>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</si>
  <si>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</si>
  <si>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</si>
  <si>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</si>
  <si>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</si>
  <si>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</si>
  <si>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</si>
  <si>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</si>
  <si>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</si>
  <si>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</si>
  <si>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</si>
  <si>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</si>
  <si>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</si>
  <si>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</si>
  <si>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</si>
  <si>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</si>
  <si>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</si>
  <si>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</si>
  <si>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</si>
  <si>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</si>
  <si>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</si>
  <si>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</si>
  <si>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</si>
  <si>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</si>
  <si>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</si>
  <si>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</si>
  <si>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</si>
  <si>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</si>
  <si>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</si>
  <si>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</si>
  <si>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</si>
  <si>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</si>
  <si>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</si>
  <si>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</si>
  <si>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</si>
  <si>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</si>
  <si>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</si>
  <si>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</si>
  <si>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</si>
  <si>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</si>
  <si>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</si>
  <si>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</si>
  <si>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</si>
  <si>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</si>
  <si>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</si>
  <si>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</si>
  <si>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</si>
  <si>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</si>
  <si>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</si>
  <si>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</si>
  <si>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</si>
  <si>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</si>
  <si>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</si>
  <si>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</si>
  <si>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</si>
  <si>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</si>
  <si>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</si>
  <si>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</si>
  <si>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</si>
  <si>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</si>
  <si>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</si>
  <si>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</si>
  <si>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</si>
  <si>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</si>
  <si>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</si>
  <si>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</si>
  <si>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</si>
  <si>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</si>
  <si>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</si>
  <si>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</si>
  <si>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</si>
  <si>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</si>
  <si>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</si>
  <si>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</si>
  <si>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</si>
  <si>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</si>
  <si>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</si>
  <si>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</si>
  <si>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</si>
  <si>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</si>
  <si>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</si>
  <si>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</si>
  <si>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</si>
  <si>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</si>
  <si>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</si>
  <si>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</si>
  <si>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</si>
  <si>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</si>
  <si>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</si>
  <si>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</si>
  <si>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</si>
  <si>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</si>
  <si>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</si>
  <si>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</si>
  <si>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</si>
  <si>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</si>
  <si>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</si>
  <si>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HAMPTON FALLS</t>
  </si>
  <si>
    <t>August 2004</t>
  </si>
  <si>
    <t>August 2024</t>
  </si>
  <si>
    <t>Audit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</si>
</sst>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227</v>
      </c>
      <c r="C2" s="21">
        <v>227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264209.9+228.98</f>
        <v>264438.88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187861.67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12694.06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1216.82</v>
      </c>
      <c r="G13" s="18">
        <v>828.08</v>
      </c>
      <c r="H13" s="18">
        <v>11093.57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959.52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>
        <v>4003246.24</v>
      </c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4331.3599999999997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451.25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279760.53000000003</v>
      </c>
      <c r="G19" s="41">
        <f>SUM(G9:G18)</f>
        <v>5159.4399999999996</v>
      </c>
      <c r="H19" s="41">
        <f>SUM(H9:H18)</f>
        <v>11093.57</v>
      </c>
      <c r="I19" s="41">
        <f>SUM(I9:I18)</f>
        <v>4003246.24</v>
      </c>
      <c r="J19" s="41">
        <f>SUM(J9:J18)</f>
        <v>187861.67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>
        <v>11093.57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>
        <v>1600.49</v>
      </c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86560.97</v>
      </c>
      <c r="G24" s="18">
        <v>98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5373.4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f>411.06+2521.4+28116.63-1902.41+493.79</f>
        <v>29640.47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>
        <v>3460.95</v>
      </c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121574.84</v>
      </c>
      <c r="G32" s="41">
        <f>SUM(G22:G31)</f>
        <v>5159.4399999999996</v>
      </c>
      <c r="H32" s="41">
        <f>SUM(H22:H31)</f>
        <v>11093.57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4331.3599999999997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451.25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-4331.3599999999997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>
        <v>4003246.24</v>
      </c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50000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1964.19</v>
      </c>
      <c r="G48" s="18"/>
      <c r="H48" s="18"/>
      <c r="I48" s="18"/>
      <c r="J48" s="13">
        <f>SUM(I459)</f>
        <v>187861.67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41577.94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64192.31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158185.69</v>
      </c>
      <c r="G51" s="41">
        <f>SUM(G35:G50)</f>
        <v>0</v>
      </c>
      <c r="H51" s="41">
        <f>SUM(H35:H50)</f>
        <v>0</v>
      </c>
      <c r="I51" s="41">
        <f>SUM(I35:I50)</f>
        <v>4003246.24</v>
      </c>
      <c r="J51" s="41">
        <f>SUM(J35:J50)</f>
        <v>187861.67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279760.53000000003</v>
      </c>
      <c r="G52" s="41">
        <f>G51+G32</f>
        <v>5159.4399999999996</v>
      </c>
      <c r="H52" s="41">
        <f>H51+H32</f>
        <v>11093.57</v>
      </c>
      <c r="I52" s="41">
        <f>I51+I32</f>
        <v>4003246.24</v>
      </c>
      <c r="J52" s="41">
        <f>J51+J32</f>
        <v>187861.67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4577845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4577845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2131.0300000000002</v>
      </c>
      <c r="G96" s="18"/>
      <c r="H96" s="18"/>
      <c r="I96" s="18">
        <v>3715.24</v>
      </c>
      <c r="J96" s="18">
        <f>5176.73+4875.12</f>
        <v>10051.849999999999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93368.82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1800.67+313</f>
        <v>2113.67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4244.7000000000007</v>
      </c>
      <c r="G111" s="41">
        <f>SUM(G96:G110)</f>
        <v>93368.82</v>
      </c>
      <c r="H111" s="41">
        <f>SUM(H96:H110)</f>
        <v>0</v>
      </c>
      <c r="I111" s="41">
        <f>SUM(I96:I110)</f>
        <v>3715.24</v>
      </c>
      <c r="J111" s="41">
        <f>SUM(J96:J110)</f>
        <v>10051.849999999999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4582089.7</v>
      </c>
      <c r="G112" s="41">
        <f>G60+G111</f>
        <v>93368.82</v>
      </c>
      <c r="H112" s="41">
        <f>H60+H79+H94+H111</f>
        <v>0</v>
      </c>
      <c r="I112" s="41">
        <f>I60+I111</f>
        <v>3715.24</v>
      </c>
      <c r="J112" s="41">
        <f>J60+J111</f>
        <v>10051.849999999999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216538.15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701494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2222.6999999999998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920254.85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1365.84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1365.84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920254.85</v>
      </c>
      <c r="G140" s="41">
        <f>G121+SUM(G136:G137)</f>
        <v>1365.84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>
        <v>5424.63</v>
      </c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f>226.17+1732.38+6529.88</f>
        <v>8488.43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3347.5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12608.21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f>25551.69+46047.37+5.26</f>
        <v>71604.319999999992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11713.22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17137.849999999999</v>
      </c>
      <c r="G162" s="41">
        <f>SUM(G150:G161)</f>
        <v>12608.21</v>
      </c>
      <c r="H162" s="41">
        <f>SUM(H150:H161)</f>
        <v>83440.25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>
        <v>7670.23</v>
      </c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17137.849999999999</v>
      </c>
      <c r="G169" s="41">
        <f>G147+G162+SUM(G163:G168)</f>
        <v>20278.439999999999</v>
      </c>
      <c r="H169" s="41">
        <f>H147+H162+SUM(H163:H168)</f>
        <v>83440.25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>
        <v>3999531</v>
      </c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3999531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19062.009999999998</v>
      </c>
      <c r="H179" s="18"/>
      <c r="I179" s="18"/>
      <c r="J179" s="18">
        <v>50000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19062.009999999998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f>45000+5175</f>
        <v>50175</v>
      </c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50175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50175</v>
      </c>
      <c r="G192" s="41">
        <f>G183+SUM(G188:G191)</f>
        <v>19062.009999999998</v>
      </c>
      <c r="H192" s="41">
        <f>+H183+SUM(H188:H191)</f>
        <v>0</v>
      </c>
      <c r="I192" s="41">
        <f>I177+I183+SUM(I188:I191)</f>
        <v>3999531</v>
      </c>
      <c r="J192" s="41">
        <f>J183</f>
        <v>50000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5569657.3999999994</v>
      </c>
      <c r="G193" s="47">
        <f>G112+G140+G169+G192</f>
        <v>134075.11000000002</v>
      </c>
      <c r="H193" s="47">
        <f>H112+H140+H169+H192</f>
        <v>83440.25</v>
      </c>
      <c r="I193" s="47">
        <f>I112+I140+I169+I192</f>
        <v>4003246.24</v>
      </c>
      <c r="J193" s="47">
        <f>J112+J140+J192</f>
        <v>60051.85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1634508.27+4260</f>
        <v>1638768.27</v>
      </c>
      <c r="G197" s="18">
        <v>723596.54</v>
      </c>
      <c r="H197" s="18">
        <v>11866.26</v>
      </c>
      <c r="I197" s="18">
        <v>56687.23</v>
      </c>
      <c r="J197" s="18">
        <v>3723.05</v>
      </c>
      <c r="K197" s="18"/>
      <c r="L197" s="19">
        <f>SUM(F197:K197)</f>
        <v>2434641.3499999996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736234.81</v>
      </c>
      <c r="G198" s="18">
        <v>269905.32</v>
      </c>
      <c r="H198" s="18">
        <v>346910.86</v>
      </c>
      <c r="I198" s="18">
        <v>3357.18</v>
      </c>
      <c r="J198" s="18">
        <v>471.02</v>
      </c>
      <c r="K198" s="18">
        <v>870</v>
      </c>
      <c r="L198" s="19">
        <f>SUM(F198:K198)</f>
        <v>1357749.1900000002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37802.5</v>
      </c>
      <c r="G200" s="18">
        <v>3062</v>
      </c>
      <c r="H200" s="18">
        <v>14901.35</v>
      </c>
      <c r="I200" s="18">
        <v>3115.44</v>
      </c>
      <c r="J200" s="18">
        <v>2823.06</v>
      </c>
      <c r="K200" s="18"/>
      <c r="L200" s="19">
        <f>SUM(F200:K200)</f>
        <v>61704.35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59443+72044+1500</f>
        <v>132987</v>
      </c>
      <c r="G202" s="18">
        <v>80407.179999999993</v>
      </c>
      <c r="H202" s="18">
        <v>345</v>
      </c>
      <c r="I202" s="18">
        <v>1141.2</v>
      </c>
      <c r="J202" s="18">
        <v>319.42</v>
      </c>
      <c r="K202" s="18">
        <v>105</v>
      </c>
      <c r="L202" s="19">
        <f t="shared" ref="L202:L208" si="0">SUM(F202:K202)</f>
        <v>215304.80000000002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13970+57321.5+81499.2</f>
        <v>152790.70000000001</v>
      </c>
      <c r="G203" s="18">
        <v>85001.38</v>
      </c>
      <c r="H203" s="18">
        <f>9134.23+140+1799.14</f>
        <v>11073.369999999999</v>
      </c>
      <c r="I203" s="18">
        <f>68.97+10024.09+26068.95</f>
        <v>36162.01</v>
      </c>
      <c r="J203" s="18">
        <v>16884.48</v>
      </c>
      <c r="K203" s="18"/>
      <c r="L203" s="19">
        <f t="shared" si="0"/>
        <v>301911.94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16827</v>
      </c>
      <c r="G204" s="18">
        <v>1287.27</v>
      </c>
      <c r="H204" s="18">
        <f>32712.65+104914</f>
        <v>137626.65</v>
      </c>
      <c r="I204" s="18"/>
      <c r="J204" s="18"/>
      <c r="K204" s="18">
        <v>9721.15</v>
      </c>
      <c r="L204" s="19">
        <f t="shared" si="0"/>
        <v>165462.06999999998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153465.73000000001</v>
      </c>
      <c r="G205" s="18">
        <v>56738.13</v>
      </c>
      <c r="H205" s="18">
        <v>2781.06</v>
      </c>
      <c r="I205" s="18">
        <v>1706.19</v>
      </c>
      <c r="J205" s="18"/>
      <c r="K205" s="18">
        <v>458.5</v>
      </c>
      <c r="L205" s="19">
        <f t="shared" si="0"/>
        <v>215149.61000000002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143097.26999999999</v>
      </c>
      <c r="G207" s="18">
        <v>94745.54</v>
      </c>
      <c r="H207" s="18">
        <f>90655.38+22536</f>
        <v>113191.38</v>
      </c>
      <c r="I207" s="18">
        <v>88352.69</v>
      </c>
      <c r="J207" s="18">
        <v>245750.51</v>
      </c>
      <c r="K207" s="18">
        <v>50</v>
      </c>
      <c r="L207" s="19">
        <f t="shared" si="0"/>
        <v>685187.39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207925.77+14620.75+5002.78+6013.44+255</f>
        <v>233817.74</v>
      </c>
      <c r="I208" s="18"/>
      <c r="J208" s="18"/>
      <c r="K208" s="18"/>
      <c r="L208" s="19">
        <f t="shared" si="0"/>
        <v>233817.74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>
        <v>543.54999999999995</v>
      </c>
      <c r="L209" s="19">
        <f>SUM(F209:K209)</f>
        <v>543.54999999999995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3011973.2800000003</v>
      </c>
      <c r="G211" s="41">
        <f t="shared" si="1"/>
        <v>1314743.3599999999</v>
      </c>
      <c r="H211" s="41">
        <f t="shared" si="1"/>
        <v>872513.67</v>
      </c>
      <c r="I211" s="41">
        <f t="shared" si="1"/>
        <v>190521.94</v>
      </c>
      <c r="J211" s="41">
        <f t="shared" si="1"/>
        <v>269971.54000000004</v>
      </c>
      <c r="K211" s="41">
        <f t="shared" si="1"/>
        <v>11748.199999999999</v>
      </c>
      <c r="L211" s="41">
        <f t="shared" si="1"/>
        <v>5671471.9900000002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>
        <v>119286.71</v>
      </c>
      <c r="K255" s="18"/>
      <c r="L255" s="19">
        <f t="shared" si="6"/>
        <v>119286.71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119286.71</v>
      </c>
      <c r="K256" s="41">
        <f t="shared" si="7"/>
        <v>0</v>
      </c>
      <c r="L256" s="41">
        <f>SUM(F256:K256)</f>
        <v>119286.71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3011973.2800000003</v>
      </c>
      <c r="G257" s="41">
        <f t="shared" si="8"/>
        <v>1314743.3599999999</v>
      </c>
      <c r="H257" s="41">
        <f t="shared" si="8"/>
        <v>872513.67</v>
      </c>
      <c r="I257" s="41">
        <f t="shared" si="8"/>
        <v>190521.94</v>
      </c>
      <c r="J257" s="41">
        <f t="shared" si="8"/>
        <v>389258.25000000006</v>
      </c>
      <c r="K257" s="41">
        <f t="shared" si="8"/>
        <v>11748.199999999999</v>
      </c>
      <c r="L257" s="41">
        <f t="shared" si="8"/>
        <v>5790758.7000000002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65000</v>
      </c>
      <c r="L260" s="19">
        <f>SUM(F260:K260)</f>
        <v>65000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26952.5</v>
      </c>
      <c r="L261" s="19">
        <f>SUM(F261:K261)</f>
        <v>26952.5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19062.009999999998</v>
      </c>
      <c r="L263" s="19">
        <f>SUM(F263:K263)</f>
        <v>19062.009999999998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50000</v>
      </c>
      <c r="L266" s="19">
        <f t="shared" si="9"/>
        <v>50000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161014.51</v>
      </c>
      <c r="L270" s="41">
        <f t="shared" si="9"/>
        <v>161014.51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3011973.2800000003</v>
      </c>
      <c r="G271" s="42">
        <f t="shared" si="11"/>
        <v>1314743.3599999999</v>
      </c>
      <c r="H271" s="42">
        <f t="shared" si="11"/>
        <v>872513.67</v>
      </c>
      <c r="I271" s="42">
        <f t="shared" si="11"/>
        <v>190521.94</v>
      </c>
      <c r="J271" s="42">
        <f t="shared" si="11"/>
        <v>389258.25000000006</v>
      </c>
      <c r="K271" s="42">
        <f t="shared" si="11"/>
        <v>172762.71000000002</v>
      </c>
      <c r="L271" s="42">
        <f t="shared" si="11"/>
        <v>5951773.21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5545.54</v>
      </c>
      <c r="G276" s="18">
        <f>2.31+2.89+424.22</f>
        <v>429.42</v>
      </c>
      <c r="H276" s="18">
        <v>3303.56</v>
      </c>
      <c r="I276" s="18"/>
      <c r="J276" s="18"/>
      <c r="K276" s="18"/>
      <c r="L276" s="19">
        <f>SUM(F276:K276)</f>
        <v>9278.52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f>1414.56+31111.32</f>
        <v>32525.88</v>
      </c>
      <c r="G277" s="18">
        <f>108.08+75.36+125.54+2379.98</f>
        <v>2688.96</v>
      </c>
      <c r="H277" s="18">
        <v>35285.230000000003</v>
      </c>
      <c r="I277" s="18"/>
      <c r="J277" s="18"/>
      <c r="K277" s="18"/>
      <c r="L277" s="19">
        <f>SUM(F277:K277)</f>
        <v>70500.070000000007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1565.28</v>
      </c>
      <c r="G279" s="18">
        <f>119.74+7.3+9.18</f>
        <v>136.22</v>
      </c>
      <c r="H279" s="18"/>
      <c r="I279" s="18"/>
      <c r="J279" s="18"/>
      <c r="K279" s="18"/>
      <c r="L279" s="19">
        <f>SUM(F279:K279)</f>
        <v>1701.5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f>168.75+356.25</f>
        <v>525</v>
      </c>
      <c r="G283" s="18">
        <f>12.89+26.44+27.25+61.85</f>
        <v>128.43</v>
      </c>
      <c r="H283" s="18"/>
      <c r="I283" s="18"/>
      <c r="J283" s="18"/>
      <c r="K283" s="18">
        <v>1294.78</v>
      </c>
      <c r="L283" s="19">
        <f t="shared" si="12"/>
        <v>1948.21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40161.699999999997</v>
      </c>
      <c r="G290" s="42">
        <f t="shared" si="13"/>
        <v>3383.0299999999997</v>
      </c>
      <c r="H290" s="42">
        <f t="shared" si="13"/>
        <v>38588.79</v>
      </c>
      <c r="I290" s="42">
        <f t="shared" si="13"/>
        <v>0</v>
      </c>
      <c r="J290" s="42">
        <f t="shared" si="13"/>
        <v>0</v>
      </c>
      <c r="K290" s="42">
        <f t="shared" si="13"/>
        <v>1294.78</v>
      </c>
      <c r="L290" s="41">
        <f t="shared" si="13"/>
        <v>83428.300000000017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>
        <v>11.1</v>
      </c>
      <c r="G332" s="18">
        <v>0.85</v>
      </c>
      <c r="H332" s="18"/>
      <c r="I332" s="18"/>
      <c r="J332" s="18"/>
      <c r="K332" s="18"/>
      <c r="L332" s="19">
        <f t="shared" ref="L332:L337" si="18">SUM(F332:K332)</f>
        <v>11.95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11.1</v>
      </c>
      <c r="G337" s="41">
        <f t="shared" si="19"/>
        <v>0.85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11.95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40172.799999999996</v>
      </c>
      <c r="G338" s="41">
        <f t="shared" si="20"/>
        <v>3383.8799999999997</v>
      </c>
      <c r="H338" s="41">
        <f t="shared" si="20"/>
        <v>38588.79</v>
      </c>
      <c r="I338" s="41">
        <f t="shared" si="20"/>
        <v>0</v>
      </c>
      <c r="J338" s="41">
        <f t="shared" si="20"/>
        <v>0</v>
      </c>
      <c r="K338" s="41">
        <f t="shared" si="20"/>
        <v>1294.78</v>
      </c>
      <c r="L338" s="41">
        <f t="shared" si="20"/>
        <v>83440.250000000015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40172.799999999996</v>
      </c>
      <c r="G352" s="41">
        <f>G338</f>
        <v>3383.8799999999997</v>
      </c>
      <c r="H352" s="41">
        <f>H338</f>
        <v>38588.79</v>
      </c>
      <c r="I352" s="41">
        <f>I338</f>
        <v>0</v>
      </c>
      <c r="J352" s="41">
        <f>J338</f>
        <v>0</v>
      </c>
      <c r="K352" s="47">
        <f>K338+K351</f>
        <v>1294.78</v>
      </c>
      <c r="L352" s="41">
        <f>L338+L351</f>
        <v>83440.250000000015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f>44000+41289.01</f>
        <v>85289.010000000009</v>
      </c>
      <c r="G358" s="18"/>
      <c r="H358" s="18">
        <f>371.85</f>
        <v>371.85</v>
      </c>
      <c r="I358" s="18">
        <f>1658.68+36311.64+7670.23</f>
        <v>45640.55</v>
      </c>
      <c r="J358" s="18">
        <v>1752.02</v>
      </c>
      <c r="K358" s="18">
        <v>1021.68</v>
      </c>
      <c r="L358" s="13">
        <f>SUM(F358:K358)</f>
        <v>134075.11000000002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85289.010000000009</v>
      </c>
      <c r="G362" s="47">
        <f t="shared" si="22"/>
        <v>0</v>
      </c>
      <c r="H362" s="47">
        <f t="shared" si="22"/>
        <v>371.85</v>
      </c>
      <c r="I362" s="47">
        <f t="shared" si="22"/>
        <v>45640.55</v>
      </c>
      <c r="J362" s="47">
        <f t="shared" si="22"/>
        <v>1752.02</v>
      </c>
      <c r="K362" s="47">
        <f t="shared" si="22"/>
        <v>1021.68</v>
      </c>
      <c r="L362" s="47">
        <f t="shared" si="22"/>
        <v>134075.11000000002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36311.64+7670.23</f>
        <v>43981.869999999995</v>
      </c>
      <c r="G367" s="18"/>
      <c r="H367" s="18"/>
      <c r="I367" s="56">
        <f>SUM(F367:H367)</f>
        <v>43981.869999999995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1658.68</v>
      </c>
      <c r="G368" s="63"/>
      <c r="H368" s="63"/>
      <c r="I368" s="56">
        <f>SUM(F368:H368)</f>
        <v>1658.68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45640.549999999996</v>
      </c>
      <c r="G369" s="47">
        <f>SUM(G367:G368)</f>
        <v>0</v>
      </c>
      <c r="H369" s="47">
        <f>SUM(H367:H368)</f>
        <v>0</v>
      </c>
      <c r="I369" s="47">
        <f>SUM(I367:I368)</f>
        <v>45640.549999999996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25000</v>
      </c>
      <c r="H396" s="18">
        <f>3482.2+3392.05</f>
        <v>6874.25</v>
      </c>
      <c r="I396" s="18"/>
      <c r="J396" s="24" t="s">
        <v>286</v>
      </c>
      <c r="K396" s="24" t="s">
        <v>286</v>
      </c>
      <c r="L396" s="56">
        <f t="shared" si="26"/>
        <v>31874.25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25000</v>
      </c>
      <c r="H397" s="18">
        <f>1653.37+1445.32</f>
        <v>3098.6899999999996</v>
      </c>
      <c r="I397" s="18"/>
      <c r="J397" s="24" t="s">
        <v>286</v>
      </c>
      <c r="K397" s="24" t="s">
        <v>286</v>
      </c>
      <c r="L397" s="56">
        <f t="shared" si="26"/>
        <v>28098.69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>
        <f>41.16+37.75</f>
        <v>78.91</v>
      </c>
      <c r="I399" s="18"/>
      <c r="J399" s="24" t="s">
        <v>286</v>
      </c>
      <c r="K399" s="24" t="s">
        <v>286</v>
      </c>
      <c r="L399" s="56">
        <f t="shared" si="26"/>
        <v>78.91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10051.849999999999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60051.850000000006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10051.849999999999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60051.850000000006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>
        <v>5175</v>
      </c>
      <c r="L422" s="56">
        <f t="shared" si="29"/>
        <v>5175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>
        <v>45000</v>
      </c>
      <c r="L423" s="56">
        <f t="shared" si="29"/>
        <v>45000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50175</v>
      </c>
      <c r="L427" s="47">
        <f t="shared" si="30"/>
        <v>50175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50175</v>
      </c>
      <c r="L434" s="47">
        <f t="shared" si="32"/>
        <v>50175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v>187861.67</v>
      </c>
      <c r="H440" s="18"/>
      <c r="I440" s="56">
        <f t="shared" si="33"/>
        <v>187861.67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187861.67</v>
      </c>
      <c r="H446" s="13">
        <f>SUM(H439:H445)</f>
        <v>0</v>
      </c>
      <c r="I446" s="13">
        <f>SUM(I439:I445)</f>
        <v>187861.67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187861.67</v>
      </c>
      <c r="H459" s="18"/>
      <c r="I459" s="56">
        <f t="shared" si="34"/>
        <v>187861.67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187861.67</v>
      </c>
      <c r="H460" s="83">
        <f>SUM(H454:H459)</f>
        <v>0</v>
      </c>
      <c r="I460" s="83">
        <f>SUM(I454:I459)</f>
        <v>187861.67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187861.67</v>
      </c>
      <c r="H461" s="42">
        <f>H452+H460</f>
        <v>0</v>
      </c>
      <c r="I461" s="42">
        <f>I452+I460</f>
        <v>187861.67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540921.5</v>
      </c>
      <c r="G465" s="18">
        <v>0</v>
      </c>
      <c r="H465" s="18">
        <v>0</v>
      </c>
      <c r="I465" s="18">
        <v>0</v>
      </c>
      <c r="J465" s="18">
        <v>177984.82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5569657.4000000004</v>
      </c>
      <c r="G468" s="18">
        <v>134075.10999999999</v>
      </c>
      <c r="H468" s="18">
        <v>83440.25</v>
      </c>
      <c r="I468" s="18">
        <v>4003246.24</v>
      </c>
      <c r="J468" s="18">
        <f>50000+5176.73+4875.12</f>
        <v>60051.85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5569657.4000000004</v>
      </c>
      <c r="G470" s="53">
        <f>SUM(G468:G469)</f>
        <v>134075.10999999999</v>
      </c>
      <c r="H470" s="53">
        <f>SUM(H468:H469)</f>
        <v>83440.25</v>
      </c>
      <c r="I470" s="53">
        <f>SUM(I468:I469)</f>
        <v>4003246.24</v>
      </c>
      <c r="J470" s="53">
        <f>SUM(J468:J469)</f>
        <v>60051.85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5951773.21</v>
      </c>
      <c r="G472" s="18">
        <v>134075.10999999999</v>
      </c>
      <c r="H472" s="18">
        <v>83440.25</v>
      </c>
      <c r="I472" s="18"/>
      <c r="J472" s="18">
        <v>50175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>
        <v>620</v>
      </c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5952393.21</v>
      </c>
      <c r="G474" s="53">
        <f>SUM(G472:G473)</f>
        <v>134075.10999999999</v>
      </c>
      <c r="H474" s="53">
        <f>SUM(H472:H473)</f>
        <v>83440.25</v>
      </c>
      <c r="I474" s="53">
        <f>SUM(I472:I473)</f>
        <v>0</v>
      </c>
      <c r="J474" s="53">
        <f>SUM(J472:J473)</f>
        <v>50175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158185.69000000041</v>
      </c>
      <c r="G476" s="53">
        <f>(G465+G470)- G474</f>
        <v>0</v>
      </c>
      <c r="H476" s="53">
        <f>(H465+H470)- H474</f>
        <v>0</v>
      </c>
      <c r="I476" s="53">
        <f>(I465+I470)- I474</f>
        <v>4003246.24</v>
      </c>
      <c r="J476" s="53">
        <f>(J465+J470)- J474</f>
        <v>187861.67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 t="s">
        <v>915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1468000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4.54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610000</v>
      </c>
      <c r="G495" s="18"/>
      <c r="H495" s="18"/>
      <c r="I495" s="18"/>
      <c r="J495" s="18"/>
      <c r="K495" s="53">
        <f>SUM(F495:J495)</f>
        <v>610000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0</v>
      </c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545000</v>
      </c>
      <c r="G498" s="204"/>
      <c r="H498" s="204"/>
      <c r="I498" s="204"/>
      <c r="J498" s="204"/>
      <c r="K498" s="205">
        <f t="shared" si="35"/>
        <v>545000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88326.75</v>
      </c>
      <c r="G499" s="18"/>
      <c r="H499" s="18"/>
      <c r="I499" s="18"/>
      <c r="J499" s="18"/>
      <c r="K499" s="53">
        <f t="shared" si="35"/>
        <v>88326.75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633326.75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633326.75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65000</v>
      </c>
      <c r="G501" s="204"/>
      <c r="H501" s="204"/>
      <c r="I501" s="204"/>
      <c r="J501" s="204"/>
      <c r="K501" s="205">
        <f t="shared" si="35"/>
        <v>65000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23702.5</v>
      </c>
      <c r="G502" s="18"/>
      <c r="H502" s="18"/>
      <c r="I502" s="18"/>
      <c r="J502" s="18"/>
      <c r="K502" s="53">
        <f t="shared" si="35"/>
        <v>23702.5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88702.5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88702.5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316726.9+228891.99+32525.88</f>
        <v>578144.77</v>
      </c>
      <c r="G521" s="18">
        <f>126779.8+40488.2+2688.96</f>
        <v>169956.96</v>
      </c>
      <c r="H521" s="18">
        <f>346910.86-H536+35285.23</f>
        <v>379772.50999999995</v>
      </c>
      <c r="I521" s="18">
        <v>3357.18</v>
      </c>
      <c r="J521" s="18">
        <v>471.02</v>
      </c>
      <c r="K521" s="18">
        <v>1104.25</v>
      </c>
      <c r="L521" s="88">
        <f>SUM(F521:K521)</f>
        <v>1132806.69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578144.77</v>
      </c>
      <c r="G524" s="108">
        <f t="shared" ref="G524:L524" si="36">SUM(G521:G523)</f>
        <v>169956.96</v>
      </c>
      <c r="H524" s="108">
        <f t="shared" si="36"/>
        <v>379772.50999999995</v>
      </c>
      <c r="I524" s="108">
        <f t="shared" si="36"/>
        <v>3357.18</v>
      </c>
      <c r="J524" s="108">
        <f t="shared" si="36"/>
        <v>471.02</v>
      </c>
      <c r="K524" s="108">
        <f t="shared" si="36"/>
        <v>1104.25</v>
      </c>
      <c r="L524" s="89">
        <f t="shared" si="36"/>
        <v>1132806.69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83015.600000000006</v>
      </c>
      <c r="G526" s="18">
        <v>29851.67</v>
      </c>
      <c r="H526" s="18"/>
      <c r="I526" s="18"/>
      <c r="J526" s="18"/>
      <c r="K526" s="18"/>
      <c r="L526" s="88">
        <f>SUM(F526:K526)</f>
        <v>112867.27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83015.600000000006</v>
      </c>
      <c r="G529" s="89">
        <f t="shared" ref="G529:L529" si="37">SUM(G526:G528)</f>
        <v>29851.67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112867.27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f>85271+22329.32</f>
        <v>107600.32000000001</v>
      </c>
      <c r="G531" s="18">
        <f>45280.33+27505.32</f>
        <v>72785.649999999994</v>
      </c>
      <c r="H531" s="18"/>
      <c r="I531" s="18"/>
      <c r="J531" s="18"/>
      <c r="K531" s="18">
        <v>870</v>
      </c>
      <c r="L531" s="88">
        <f>SUM(F531:K531)</f>
        <v>181255.97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107600.32000000001</v>
      </c>
      <c r="G534" s="89">
        <f t="shared" ref="G534:L534" si="38">SUM(G531:G533)</f>
        <v>72785.649999999994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870</v>
      </c>
      <c r="L534" s="89">
        <f t="shared" si="38"/>
        <v>181255.97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2423.58</v>
      </c>
      <c r="I536" s="18"/>
      <c r="J536" s="18"/>
      <c r="K536" s="18"/>
      <c r="L536" s="88">
        <f>SUM(F536:K536)</f>
        <v>2423.58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2423.58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2423.58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14620.75</v>
      </c>
      <c r="I541" s="18"/>
      <c r="J541" s="18"/>
      <c r="K541" s="18"/>
      <c r="L541" s="88">
        <f>SUM(F541:K541)</f>
        <v>14620.75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14620.75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14620.75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768760.69</v>
      </c>
      <c r="G545" s="89">
        <f t="shared" ref="G545:L545" si="41">G524+G529+G534+G539+G544</f>
        <v>272594.28000000003</v>
      </c>
      <c r="H545" s="89">
        <f t="shared" si="41"/>
        <v>396816.83999999997</v>
      </c>
      <c r="I545" s="89">
        <f t="shared" si="41"/>
        <v>3357.18</v>
      </c>
      <c r="J545" s="89">
        <f t="shared" si="41"/>
        <v>471.02</v>
      </c>
      <c r="K545" s="89">
        <f t="shared" si="41"/>
        <v>1974.25</v>
      </c>
      <c r="L545" s="89">
        <f t="shared" si="41"/>
        <v>1443974.26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1132806.69</v>
      </c>
      <c r="G549" s="87">
        <f>L526</f>
        <v>112867.27</v>
      </c>
      <c r="H549" s="87">
        <f>L531</f>
        <v>181255.97</v>
      </c>
      <c r="I549" s="87">
        <f>L536</f>
        <v>2423.58</v>
      </c>
      <c r="J549" s="87">
        <f>L541</f>
        <v>14620.75</v>
      </c>
      <c r="K549" s="87">
        <f>SUM(F549:J549)</f>
        <v>1443974.26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1132806.69</v>
      </c>
      <c r="G552" s="89">
        <f t="shared" si="42"/>
        <v>112867.27</v>
      </c>
      <c r="H552" s="89">
        <f t="shared" si="42"/>
        <v>181255.97</v>
      </c>
      <c r="I552" s="89">
        <f t="shared" si="42"/>
        <v>2423.58</v>
      </c>
      <c r="J552" s="89">
        <f t="shared" si="42"/>
        <v>14620.75</v>
      </c>
      <c r="K552" s="89">
        <f t="shared" si="42"/>
        <v>1443974.26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14981</v>
      </c>
      <c r="G579" s="18"/>
      <c r="H579" s="18"/>
      <c r="I579" s="87">
        <f t="shared" si="47"/>
        <v>14981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f>1200+5136.92+35939.76</f>
        <v>42276.68</v>
      </c>
      <c r="G582" s="18"/>
      <c r="H582" s="18"/>
      <c r="I582" s="87">
        <f t="shared" si="47"/>
        <v>42276.68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207925.77</v>
      </c>
      <c r="I591" s="18"/>
      <c r="J591" s="18"/>
      <c r="K591" s="104">
        <f t="shared" ref="K591:K597" si="48">SUM(H591:J591)</f>
        <v>207925.77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14620.75</v>
      </c>
      <c r="I592" s="18"/>
      <c r="J592" s="18"/>
      <c r="K592" s="104">
        <f t="shared" si="48"/>
        <v>14620.75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5002.78</v>
      </c>
      <c r="I594" s="18"/>
      <c r="J594" s="18"/>
      <c r="K594" s="104">
        <f t="shared" si="48"/>
        <v>5002.78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6013.44</v>
      </c>
      <c r="I595" s="18"/>
      <c r="J595" s="18"/>
      <c r="K595" s="104">
        <f t="shared" si="48"/>
        <v>6013.44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255</v>
      </c>
      <c r="I597" s="18"/>
      <c r="J597" s="18"/>
      <c r="K597" s="104">
        <f t="shared" si="48"/>
        <v>255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233817.74</v>
      </c>
      <c r="I598" s="108">
        <f>SUM(I591:I597)</f>
        <v>0</v>
      </c>
      <c r="J598" s="108">
        <f>SUM(J591:J597)</f>
        <v>0</v>
      </c>
      <c r="K598" s="108">
        <f>SUM(K591:K597)</f>
        <v>233817.74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>
        <f>236027.71</f>
        <v>236027.71</v>
      </c>
      <c r="I603" s="18"/>
      <c r="J603" s="18"/>
      <c r="K603" s="104">
        <f>SUM(H603:J603)</f>
        <v>236027.71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3723.05+471.02+2823.06+319.42+16884.48+5672.86+4049.94</f>
        <v>33943.83</v>
      </c>
      <c r="I604" s="18"/>
      <c r="J604" s="18"/>
      <c r="K604" s="104">
        <f>SUM(H604:J604)</f>
        <v>33943.83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269971.53999999998</v>
      </c>
      <c r="I605" s="108">
        <f>SUM(I602:I604)</f>
        <v>0</v>
      </c>
      <c r="J605" s="108">
        <f>SUM(J602:J604)</f>
        <v>0</v>
      </c>
      <c r="K605" s="108">
        <f>SUM(K602:K604)</f>
        <v>269971.53999999998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279760.53000000003</v>
      </c>
      <c r="H617" s="109">
        <f>SUM(F52)</f>
        <v>279760.53000000003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5159.4399999999996</v>
      </c>
      <c r="H618" s="109">
        <f>SUM(G52)</f>
        <v>5159.4399999999996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11093.57</v>
      </c>
      <c r="H619" s="109">
        <f>SUM(H52)</f>
        <v>11093.57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4003246.24</v>
      </c>
      <c r="H620" s="109">
        <f>SUM(I52)</f>
        <v>4003246.24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187861.67</v>
      </c>
      <c r="H621" s="109">
        <f>SUM(J52)</f>
        <v>187861.67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158185.69</v>
      </c>
      <c r="H622" s="109">
        <f>F476</f>
        <v>158185.69000000041</v>
      </c>
      <c r="I622" s="121" t="s">
        <v>101</v>
      </c>
      <c r="J622" s="109">
        <f t="shared" ref="J622:J655" si="50">G622-H622</f>
        <v>-4.0745362639427185E-10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4003246.24</v>
      </c>
      <c r="H625" s="109">
        <f>I476</f>
        <v>4003246.24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187861.67</v>
      </c>
      <c r="H626" s="109">
        <f>J476</f>
        <v>187861.67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5569657.3999999994</v>
      </c>
      <c r="H627" s="104">
        <f>SUM(F468)</f>
        <v>5569657.4000000004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134075.11000000002</v>
      </c>
      <c r="H628" s="104">
        <f>SUM(G468)</f>
        <v>134075.10999999999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83440.25</v>
      </c>
      <c r="H629" s="104">
        <f>SUM(H468)</f>
        <v>83440.25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4003246.24</v>
      </c>
      <c r="H630" s="104">
        <f>SUM(I468)</f>
        <v>4003246.24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60051.85</v>
      </c>
      <c r="H631" s="104">
        <f>SUM(J468)</f>
        <v>60051.85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5951773.21</v>
      </c>
      <c r="H632" s="104">
        <f>SUM(F472)</f>
        <v>5951773.21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83440.250000000015</v>
      </c>
      <c r="H633" s="104">
        <f>SUM(H472)</f>
        <v>83440.25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45640.55</v>
      </c>
      <c r="H634" s="104">
        <f>I369</f>
        <v>45640.549999999996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134075.11000000002</v>
      </c>
      <c r="H635" s="104">
        <f>SUM(G472)</f>
        <v>134075.10999999999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60051.850000000006</v>
      </c>
      <c r="H637" s="164">
        <f>SUM(J468)</f>
        <v>60051.85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50175</v>
      </c>
      <c r="H638" s="164">
        <f>SUM(J472)</f>
        <v>50175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187861.67</v>
      </c>
      <c r="H640" s="104">
        <f>SUM(G461)</f>
        <v>187861.67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187861.67</v>
      </c>
      <c r="H642" s="104">
        <f>SUM(I461)</f>
        <v>187861.67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10051.849999999999</v>
      </c>
      <c r="H644" s="104">
        <f>H408</f>
        <v>10051.849999999999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50000</v>
      </c>
      <c r="H645" s="104">
        <f>G408</f>
        <v>50000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60051.85</v>
      </c>
      <c r="H646" s="104">
        <f>L408</f>
        <v>60051.850000000006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233817.74</v>
      </c>
      <c r="H647" s="104">
        <f>L208+L226+L244</f>
        <v>233817.74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269971.53999999998</v>
      </c>
      <c r="H648" s="104">
        <f>(J257+J338)-(J255+J336)</f>
        <v>269971.54000000004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233817.74</v>
      </c>
      <c r="H649" s="104">
        <f>H598</f>
        <v>233817.74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19062.009999999998</v>
      </c>
      <c r="H652" s="104">
        <f>K263+K345</f>
        <v>19062.009999999998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50000</v>
      </c>
      <c r="H655" s="104">
        <f>K266+K347</f>
        <v>50000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5888975.4000000004</v>
      </c>
      <c r="G660" s="19">
        <f>(L229+L309+L359)</f>
        <v>0</v>
      </c>
      <c r="H660" s="19">
        <f>(L247+L328+L360)</f>
        <v>0</v>
      </c>
      <c r="I660" s="19">
        <f>SUM(F660:H660)</f>
        <v>5888975.4000000004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93368.82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93368.82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233817.74</v>
      </c>
      <c r="G662" s="19">
        <f>(L226+L306)-(J226+J306)</f>
        <v>0</v>
      </c>
      <c r="H662" s="19">
        <f>(L244+L325)-(J244+J325)</f>
        <v>0</v>
      </c>
      <c r="I662" s="19">
        <f>SUM(F662:H662)</f>
        <v>233817.74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327229.21999999997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327229.21999999997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5234559.62</v>
      </c>
      <c r="G664" s="19">
        <f>G660-SUM(G661:G663)</f>
        <v>0</v>
      </c>
      <c r="H664" s="19">
        <f>H660-SUM(H661:H663)</f>
        <v>0</v>
      </c>
      <c r="I664" s="19">
        <f>I660-SUM(I661:I663)</f>
        <v>5234559.62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233.26</v>
      </c>
      <c r="G665" s="248"/>
      <c r="H665" s="248"/>
      <c r="I665" s="19">
        <f>SUM(F665:H665)</f>
        <v>233.26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22440.880000000001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22440.880000000001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22440.880000000001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22440.880000000001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0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HAMPTON FALLS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1644313.81</v>
      </c>
      <c r="C9" s="229">
        <f>'DOE25'!G197+'DOE25'!G215+'DOE25'!G233+'DOE25'!G276+'DOE25'!G295+'DOE25'!G314</f>
        <v>724025.96000000008</v>
      </c>
    </row>
    <row r="10" spans="1:3" x14ac:dyDescent="0.2">
      <c r="A10" t="s">
        <v>773</v>
      </c>
      <c r="B10" s="240">
        <f>1564976.56+4260+5545.54</f>
        <v>1574782.1</v>
      </c>
      <c r="C10" s="240">
        <f>429.42+714355.42</f>
        <v>714784.84000000008</v>
      </c>
    </row>
    <row r="11" spans="1:3" x14ac:dyDescent="0.2">
      <c r="A11" t="s">
        <v>774</v>
      </c>
      <c r="B11" s="240">
        <v>18954</v>
      </c>
      <c r="C11" s="240">
        <v>5309.06</v>
      </c>
    </row>
    <row r="12" spans="1:3" x14ac:dyDescent="0.2">
      <c r="A12" t="s">
        <v>775</v>
      </c>
      <c r="B12" s="240">
        <f>13970.93+36606.78</f>
        <v>50577.71</v>
      </c>
      <c r="C12" s="240">
        <f>1131.65+2800.41</f>
        <v>3932.06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1644313.81</v>
      </c>
      <c r="C13" s="231">
        <f>SUM(C10:C12)</f>
        <v>724025.9600000002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768760.69000000006</v>
      </c>
      <c r="C18" s="229">
        <f>'DOE25'!G198+'DOE25'!G216+'DOE25'!G234+'DOE25'!G277+'DOE25'!G296+'DOE25'!G315</f>
        <v>272594.28000000003</v>
      </c>
    </row>
    <row r="19" spans="1:3" x14ac:dyDescent="0.2">
      <c r="A19" t="s">
        <v>773</v>
      </c>
      <c r="B19" s="240">
        <f>316726.9+83015.6</f>
        <v>399742.5</v>
      </c>
      <c r="C19" s="240">
        <f>126779.8+29851.67</f>
        <v>156631.47</v>
      </c>
    </row>
    <row r="20" spans="1:3" x14ac:dyDescent="0.2">
      <c r="A20" t="s">
        <v>774</v>
      </c>
      <c r="B20" s="240">
        <f>228891.99+1414.56+31111.32</f>
        <v>261417.87</v>
      </c>
      <c r="C20" s="240">
        <f>2688.96+40488.2</f>
        <v>43177.159999999996</v>
      </c>
    </row>
    <row r="21" spans="1:3" x14ac:dyDescent="0.2">
      <c r="A21" t="s">
        <v>775</v>
      </c>
      <c r="B21" s="240">
        <f>85271+22329.32</f>
        <v>107600.32000000001</v>
      </c>
      <c r="C21" s="240">
        <f>45280.33+27505.32</f>
        <v>72785.649999999994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768760.69</v>
      </c>
      <c r="C22" s="231">
        <f>SUM(C19:C21)</f>
        <v>272594.28000000003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39367.78</v>
      </c>
      <c r="C36" s="235">
        <f>'DOE25'!G200+'DOE25'!G218+'DOE25'!G236+'DOE25'!G279+'DOE25'!G298+'DOE25'!G317</f>
        <v>3198.22</v>
      </c>
    </row>
    <row r="37" spans="1:3" x14ac:dyDescent="0.2">
      <c r="A37" t="s">
        <v>773</v>
      </c>
      <c r="B37" s="240">
        <v>1565.28</v>
      </c>
      <c r="C37" s="240">
        <v>136.22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37802.5</v>
      </c>
      <c r="C39" s="240">
        <v>3062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39367.78</v>
      </c>
      <c r="C40" s="231">
        <f>SUM(C37:C39)</f>
        <v>3198.22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8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HAMPTON FALLS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3854094.89</v>
      </c>
      <c r="D5" s="20">
        <f>SUM('DOE25'!L197:L200)+SUM('DOE25'!L215:L218)+SUM('DOE25'!L233:L236)-F5-G5</f>
        <v>3846207.7600000002</v>
      </c>
      <c r="E5" s="243"/>
      <c r="F5" s="255">
        <f>SUM('DOE25'!J197:J200)+SUM('DOE25'!J215:J218)+SUM('DOE25'!J233:J236)</f>
        <v>7017.1299999999992</v>
      </c>
      <c r="G5" s="53">
        <f>SUM('DOE25'!K197:K200)+SUM('DOE25'!K215:K218)+SUM('DOE25'!K233:K236)</f>
        <v>870</v>
      </c>
      <c r="H5" s="259"/>
    </row>
    <row r="6" spans="1:9" x14ac:dyDescent="0.2">
      <c r="A6" s="32">
        <v>2100</v>
      </c>
      <c r="B6" t="s">
        <v>795</v>
      </c>
      <c r="C6" s="245">
        <f t="shared" si="0"/>
        <v>215304.80000000002</v>
      </c>
      <c r="D6" s="20">
        <f>'DOE25'!L202+'DOE25'!L220+'DOE25'!L238-F6-G6</f>
        <v>214880.38</v>
      </c>
      <c r="E6" s="243"/>
      <c r="F6" s="255">
        <f>'DOE25'!J202+'DOE25'!J220+'DOE25'!J238</f>
        <v>319.42</v>
      </c>
      <c r="G6" s="53">
        <f>'DOE25'!K202+'DOE25'!K220+'DOE25'!K238</f>
        <v>105</v>
      </c>
      <c r="H6" s="259"/>
    </row>
    <row r="7" spans="1:9" x14ac:dyDescent="0.2">
      <c r="A7" s="32">
        <v>2200</v>
      </c>
      <c r="B7" t="s">
        <v>828</v>
      </c>
      <c r="C7" s="245">
        <f t="shared" si="0"/>
        <v>301911.94</v>
      </c>
      <c r="D7" s="20">
        <f>'DOE25'!L203+'DOE25'!L221+'DOE25'!L239-F7-G7</f>
        <v>285027.46000000002</v>
      </c>
      <c r="E7" s="243"/>
      <c r="F7" s="255">
        <f>'DOE25'!J203+'DOE25'!J221+'DOE25'!J239</f>
        <v>16884.48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70856.219999999972</v>
      </c>
      <c r="D8" s="243"/>
      <c r="E8" s="20">
        <f>'DOE25'!L204+'DOE25'!L222+'DOE25'!L240-F8-G8-D9-D11</f>
        <v>61135.069999999978</v>
      </c>
      <c r="F8" s="255">
        <f>'DOE25'!J204+'DOE25'!J222+'DOE25'!J240</f>
        <v>0</v>
      </c>
      <c r="G8" s="53">
        <f>'DOE25'!K204+'DOE25'!K222+'DOE25'!K240</f>
        <v>9721.15</v>
      </c>
      <c r="H8" s="259"/>
    </row>
    <row r="9" spans="1:9" x14ac:dyDescent="0.2">
      <c r="A9" s="32">
        <v>2310</v>
      </c>
      <c r="B9" t="s">
        <v>812</v>
      </c>
      <c r="C9" s="245">
        <f t="shared" si="0"/>
        <v>59260.800000000003</v>
      </c>
      <c r="D9" s="244">
        <v>59260.800000000003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8200</v>
      </c>
      <c r="D10" s="243"/>
      <c r="E10" s="244">
        <v>8200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35345.050000000003</v>
      </c>
      <c r="D11" s="244">
        <v>35345.050000000003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215149.61000000002</v>
      </c>
      <c r="D12" s="20">
        <f>'DOE25'!L205+'DOE25'!L223+'DOE25'!L241-F12-G12</f>
        <v>214691.11000000002</v>
      </c>
      <c r="E12" s="243"/>
      <c r="F12" s="255">
        <f>'DOE25'!J205+'DOE25'!J223+'DOE25'!J241</f>
        <v>0</v>
      </c>
      <c r="G12" s="53">
        <f>'DOE25'!K205+'DOE25'!K223+'DOE25'!K241</f>
        <v>458.5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685187.39</v>
      </c>
      <c r="D14" s="20">
        <f>'DOE25'!L207+'DOE25'!L225+'DOE25'!L243-F14-G14</f>
        <v>439386.88</v>
      </c>
      <c r="E14" s="243"/>
      <c r="F14" s="255">
        <f>'DOE25'!J207+'DOE25'!J225+'DOE25'!J243</f>
        <v>245750.51</v>
      </c>
      <c r="G14" s="53">
        <f>'DOE25'!K207+'DOE25'!K225+'DOE25'!K243</f>
        <v>50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233817.74</v>
      </c>
      <c r="D15" s="20">
        <f>'DOE25'!L208+'DOE25'!L226+'DOE25'!L244-F15-G15</f>
        <v>233817.74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543.54999999999995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543.54999999999995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119286.71</v>
      </c>
      <c r="D22" s="243"/>
      <c r="E22" s="243"/>
      <c r="F22" s="255">
        <f>'DOE25'!L255+'DOE25'!L336</f>
        <v>119286.71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91952.5</v>
      </c>
      <c r="D25" s="243"/>
      <c r="E25" s="243"/>
      <c r="F25" s="258"/>
      <c r="G25" s="256"/>
      <c r="H25" s="257">
        <f>'DOE25'!L260+'DOE25'!L261+'DOE25'!L341+'DOE25'!L342</f>
        <v>91952.5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90093.24000000002</v>
      </c>
      <c r="D29" s="20">
        <f>'DOE25'!L358+'DOE25'!L359+'DOE25'!L360-'DOE25'!I367-F29-G29</f>
        <v>87319.540000000023</v>
      </c>
      <c r="E29" s="243"/>
      <c r="F29" s="255">
        <f>'DOE25'!J358+'DOE25'!J359+'DOE25'!J360</f>
        <v>1752.02</v>
      </c>
      <c r="G29" s="53">
        <f>'DOE25'!K358+'DOE25'!K359+'DOE25'!K360</f>
        <v>1021.68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83428.300000000017</v>
      </c>
      <c r="D31" s="20">
        <f>'DOE25'!L290+'DOE25'!L309+'DOE25'!L328+'DOE25'!L333+'DOE25'!L334+'DOE25'!L335-F31-G31</f>
        <v>82133.520000000019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1294.78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5498070.2400000002</v>
      </c>
      <c r="E33" s="246">
        <f>SUM(E5:E31)</f>
        <v>69335.069999999978</v>
      </c>
      <c r="F33" s="246">
        <f>SUM(F5:F31)</f>
        <v>391010.27000000008</v>
      </c>
      <c r="G33" s="246">
        <f>SUM(G5:G31)</f>
        <v>14064.66</v>
      </c>
      <c r="H33" s="246">
        <f>SUM(H5:H31)</f>
        <v>91952.5</v>
      </c>
    </row>
    <row r="35" spans="2:8" ht="12" thickBot="1" x14ac:dyDescent="0.25">
      <c r="B35" s="253" t="s">
        <v>841</v>
      </c>
      <c r="D35" s="254">
        <f>E33</f>
        <v>69335.069999999978</v>
      </c>
      <c r="E35" s="249"/>
    </row>
    <row r="36" spans="2:8" ht="12" thickTop="1" x14ac:dyDescent="0.2">
      <c r="B36" t="s">
        <v>809</v>
      </c>
      <c r="D36" s="20">
        <f>D33</f>
        <v>5498070.2400000002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HAMPTON FALLS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264438.88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187861.67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12694.06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1216.82</v>
      </c>
      <c r="D12" s="95">
        <f>'DOE25'!G13</f>
        <v>828.08</v>
      </c>
      <c r="E12" s="95">
        <f>'DOE25'!H13</f>
        <v>11093.57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959.52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4003246.24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4331.3599999999997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451.25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279760.53000000003</v>
      </c>
      <c r="D18" s="41">
        <f>SUM(D8:D17)</f>
        <v>5159.4399999999996</v>
      </c>
      <c r="E18" s="41">
        <f>SUM(E8:E17)</f>
        <v>11093.57</v>
      </c>
      <c r="F18" s="41">
        <f>SUM(F8:F17)</f>
        <v>4003246.24</v>
      </c>
      <c r="G18" s="41">
        <f>SUM(G8:G17)</f>
        <v>187861.67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11093.57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1600.49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86560.97</v>
      </c>
      <c r="D23" s="95">
        <f>'DOE25'!G24</f>
        <v>98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5373.4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29640.47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3460.95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121574.84</v>
      </c>
      <c r="D31" s="41">
        <f>SUM(D21:D30)</f>
        <v>5159.4399999999996</v>
      </c>
      <c r="E31" s="41">
        <f>SUM(E21:E30)</f>
        <v>11093.57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4331.3599999999997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451.25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-4331.3599999999997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4003246.24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1964.19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187861.67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41577.94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64192.31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158185.69</v>
      </c>
      <c r="D50" s="41">
        <f>SUM(D34:D49)</f>
        <v>0</v>
      </c>
      <c r="E50" s="41">
        <f>SUM(E34:E49)</f>
        <v>0</v>
      </c>
      <c r="F50" s="41">
        <f>SUM(F34:F49)</f>
        <v>4003246.24</v>
      </c>
      <c r="G50" s="41">
        <f>SUM(G34:G49)</f>
        <v>187861.67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279760.53000000003</v>
      </c>
      <c r="D51" s="41">
        <f>D50+D31</f>
        <v>5159.4399999999996</v>
      </c>
      <c r="E51" s="41">
        <f>E50+E31</f>
        <v>11093.57</v>
      </c>
      <c r="F51" s="41">
        <f>F50+F31</f>
        <v>4003246.24</v>
      </c>
      <c r="G51" s="41">
        <f>G50+G31</f>
        <v>187861.67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4577845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2131.0300000000002</v>
      </c>
      <c r="D59" s="95">
        <f>'DOE25'!G96</f>
        <v>0</v>
      </c>
      <c r="E59" s="95">
        <f>'DOE25'!H96</f>
        <v>0</v>
      </c>
      <c r="F59" s="95">
        <f>'DOE25'!I96</f>
        <v>3715.24</v>
      </c>
      <c r="G59" s="95">
        <f>'DOE25'!J96</f>
        <v>10051.849999999999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93368.82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2113.67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4244.7000000000007</v>
      </c>
      <c r="D62" s="130">
        <f>SUM(D57:D61)</f>
        <v>93368.82</v>
      </c>
      <c r="E62" s="130">
        <f>SUM(E57:E61)</f>
        <v>0</v>
      </c>
      <c r="F62" s="130">
        <f>SUM(F57:F61)</f>
        <v>3715.24</v>
      </c>
      <c r="G62" s="130">
        <f>SUM(G57:G61)</f>
        <v>10051.849999999999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4582089.7</v>
      </c>
      <c r="D63" s="22">
        <f>D56+D62</f>
        <v>93368.82</v>
      </c>
      <c r="E63" s="22">
        <f>E56+E62</f>
        <v>0</v>
      </c>
      <c r="F63" s="22">
        <f>F56+F62</f>
        <v>3715.24</v>
      </c>
      <c r="G63" s="22">
        <f>G56+G62</f>
        <v>10051.849999999999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216538.15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701494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2222.6999999999998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920254.85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1365.84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1365.84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920254.85</v>
      </c>
      <c r="D81" s="130">
        <f>SUM(D79:D80)+D78+D70</f>
        <v>1365.84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5424.63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11713.22</v>
      </c>
      <c r="D88" s="95">
        <f>SUM('DOE25'!G153:G161)</f>
        <v>12608.21</v>
      </c>
      <c r="E88" s="95">
        <f>SUM('DOE25'!H153:H161)</f>
        <v>83440.25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7670.23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17137.849999999999</v>
      </c>
      <c r="D91" s="131">
        <f>SUM(D85:D90)</f>
        <v>20278.439999999999</v>
      </c>
      <c r="E91" s="131">
        <f>SUM(E85:E90)</f>
        <v>83440.25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3999531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19062.009999999998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50175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50175</v>
      </c>
      <c r="D103" s="86">
        <f>SUM(D93:D102)</f>
        <v>19062.009999999998</v>
      </c>
      <c r="E103" s="86">
        <f>SUM(E93:E102)</f>
        <v>0</v>
      </c>
      <c r="F103" s="86">
        <f>SUM(F93:F102)</f>
        <v>3999531</v>
      </c>
      <c r="G103" s="86">
        <f>SUM(G93:G102)</f>
        <v>50000</v>
      </c>
    </row>
    <row r="104" spans="1:7" ht="12.75" thickTop="1" thickBot="1" x14ac:dyDescent="0.25">
      <c r="A104" s="33" t="s">
        <v>759</v>
      </c>
      <c r="C104" s="86">
        <f>C63+C81+C91+C103</f>
        <v>5569657.3999999994</v>
      </c>
      <c r="D104" s="86">
        <f>D63+D81+D91+D103</f>
        <v>134075.11000000002</v>
      </c>
      <c r="E104" s="86">
        <f>E63+E81+E91+E103</f>
        <v>83440.25</v>
      </c>
      <c r="F104" s="86">
        <f>F63+F81+F91+F103</f>
        <v>4003246.24</v>
      </c>
      <c r="G104" s="86">
        <f>G63+G81+G103</f>
        <v>60051.85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2434641.3499999996</v>
      </c>
      <c r="D109" s="24" t="s">
        <v>286</v>
      </c>
      <c r="E109" s="95">
        <f>('DOE25'!L276)+('DOE25'!L295)+('DOE25'!L314)</f>
        <v>9278.52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1357749.1900000002</v>
      </c>
      <c r="D110" s="24" t="s">
        <v>286</v>
      </c>
      <c r="E110" s="95">
        <f>('DOE25'!L277)+('DOE25'!L296)+('DOE25'!L315)</f>
        <v>70500.070000000007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61704.35</v>
      </c>
      <c r="D112" s="24" t="s">
        <v>286</v>
      </c>
      <c r="E112" s="95">
        <f>+('DOE25'!L279)+('DOE25'!L298)+('DOE25'!L317)</f>
        <v>1701.5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11.95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3854094.89</v>
      </c>
      <c r="D115" s="86">
        <f>SUM(D109:D114)</f>
        <v>0</v>
      </c>
      <c r="E115" s="86">
        <f>SUM(E109:E114)</f>
        <v>81492.040000000008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215304.80000000002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301911.94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165462.06999999998</v>
      </c>
      <c r="D120" s="24" t="s">
        <v>286</v>
      </c>
      <c r="E120" s="95">
        <f>+('DOE25'!L283)+('DOE25'!L302)+('DOE25'!L321)</f>
        <v>1948.21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215149.61000000002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685187.39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233817.74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543.54999999999995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134075.11000000002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1817377.1</v>
      </c>
      <c r="D128" s="86">
        <f>SUM(D118:D127)</f>
        <v>134075.11000000002</v>
      </c>
      <c r="E128" s="86">
        <f>SUM(E118:E127)</f>
        <v>1948.21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119286.71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65000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26952.5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50175</v>
      </c>
    </row>
    <row r="135" spans="1:7" x14ac:dyDescent="0.2">
      <c r="A135" t="s">
        <v>233</v>
      </c>
      <c r="B135" s="32" t="s">
        <v>234</v>
      </c>
      <c r="C135" s="95">
        <f>'DOE25'!L263</f>
        <v>19062.009999999998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60051.850000000006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-10051.850000000006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280301.22000000009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50175</v>
      </c>
    </row>
    <row r="145" spans="1:9" ht="12.75" thickTop="1" thickBot="1" x14ac:dyDescent="0.25">
      <c r="A145" s="33" t="s">
        <v>244</v>
      </c>
      <c r="C145" s="86">
        <f>(C115+C128+C144)</f>
        <v>5951773.21</v>
      </c>
      <c r="D145" s="86">
        <f>(D115+D128+D144)</f>
        <v>134075.11000000002</v>
      </c>
      <c r="E145" s="86">
        <f>(E115+E128+E144)</f>
        <v>83440.250000000015</v>
      </c>
      <c r="F145" s="86">
        <f>(F115+F128+F144)</f>
        <v>0</v>
      </c>
      <c r="G145" s="86">
        <f>(G115+G128+G144)</f>
        <v>50175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August 2004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August 2024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1468000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4.54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610000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610000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545000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545000</v>
      </c>
    </row>
    <row r="160" spans="1:9" x14ac:dyDescent="0.2">
      <c r="A160" s="22" t="s">
        <v>36</v>
      </c>
      <c r="B160" s="137">
        <f>'DOE25'!F499</f>
        <v>88326.75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88326.75</v>
      </c>
    </row>
    <row r="161" spans="1:7" x14ac:dyDescent="0.2">
      <c r="A161" s="22" t="s">
        <v>37</v>
      </c>
      <c r="B161" s="137">
        <f>'DOE25'!F500</f>
        <v>633326.75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633326.75</v>
      </c>
    </row>
    <row r="162" spans="1:7" x14ac:dyDescent="0.2">
      <c r="A162" s="22" t="s">
        <v>38</v>
      </c>
      <c r="B162" s="137">
        <f>'DOE25'!F501</f>
        <v>65000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65000</v>
      </c>
    </row>
    <row r="163" spans="1:7" x14ac:dyDescent="0.2">
      <c r="A163" s="22" t="s">
        <v>39</v>
      </c>
      <c r="B163" s="137">
        <f>'DOE25'!F502</f>
        <v>23702.5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23702.5</v>
      </c>
    </row>
    <row r="164" spans="1:7" x14ac:dyDescent="0.2">
      <c r="A164" s="22" t="s">
        <v>246</v>
      </c>
      <c r="B164" s="137">
        <f>'DOE25'!F503</f>
        <v>88702.5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88702.5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HAMPTON FALLS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22441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22441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2443920</v>
      </c>
      <c r="D10" s="182">
        <f>ROUND((C10/$C$28)*100,1)</f>
        <v>42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1428249</v>
      </c>
      <c r="D11" s="182">
        <f>ROUND((C11/$C$28)*100,1)</f>
        <v>24.5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63406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215305</v>
      </c>
      <c r="D15" s="182">
        <f t="shared" ref="D15:D27" si="0">ROUND((C15/$C$28)*100,1)</f>
        <v>3.7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301912</v>
      </c>
      <c r="D16" s="182">
        <f t="shared" si="0"/>
        <v>5.2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167954</v>
      </c>
      <c r="D17" s="182">
        <f t="shared" si="0"/>
        <v>2.9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215150</v>
      </c>
      <c r="D18" s="182">
        <f t="shared" si="0"/>
        <v>3.7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685187</v>
      </c>
      <c r="D20" s="182">
        <f t="shared" si="0"/>
        <v>11.8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233818</v>
      </c>
      <c r="D21" s="182">
        <f t="shared" si="0"/>
        <v>4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12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26953</v>
      </c>
      <c r="D25" s="182">
        <f t="shared" si="0"/>
        <v>0.5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40706.179999999993</v>
      </c>
      <c r="D27" s="182">
        <f t="shared" si="0"/>
        <v>0.7</v>
      </c>
    </row>
    <row r="28" spans="1:4" x14ac:dyDescent="0.2">
      <c r="B28" s="187" t="s">
        <v>717</v>
      </c>
      <c r="C28" s="180">
        <f>SUM(C10:C27)</f>
        <v>5822572.1799999997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119287</v>
      </c>
    </row>
    <row r="30" spans="1:4" x14ac:dyDescent="0.2">
      <c r="B30" s="187" t="s">
        <v>723</v>
      </c>
      <c r="C30" s="180">
        <f>SUM(C28:C29)</f>
        <v>5941859.1799999997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65000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4577845</v>
      </c>
      <c r="D35" s="182">
        <f t="shared" ref="D35:D40" si="1">ROUND((C35/$C$41)*100,1)</f>
        <v>81.2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18011.790000000037</v>
      </c>
      <c r="D36" s="182">
        <f t="shared" si="1"/>
        <v>0.3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918032</v>
      </c>
      <c r="D37" s="182">
        <f t="shared" si="1"/>
        <v>16.3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3589</v>
      </c>
      <c r="D38" s="182">
        <f t="shared" si="1"/>
        <v>0.1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120857</v>
      </c>
      <c r="D39" s="182">
        <f t="shared" si="1"/>
        <v>2.1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5638334.79</v>
      </c>
      <c r="D41" s="184">
        <f>SUM(D35:D40)</f>
        <v>99.999999999999986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3999531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HAMPTON FALLS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2018-08-22T12:28:03Z</cp:lastPrinted>
  <dcterms:created xsi:type="dcterms:W3CDTF">1997-12-04T19:04:30Z</dcterms:created>
  <dcterms:modified xsi:type="dcterms:W3CDTF">2018-11-13T19:49:02Z</dcterms:modified>
</cp:coreProperties>
</file>