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570" windowHeight="8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358" i="1" l="1"/>
  <c r="G276" i="1"/>
  <c r="G283" i="1"/>
  <c r="J276" i="1"/>
  <c r="I276" i="1"/>
  <c r="I281" i="1" l="1"/>
  <c r="K285" i="1"/>
  <c r="G282" i="1"/>
  <c r="F282" i="1"/>
  <c r="J281" i="1"/>
  <c r="H468" i="1"/>
  <c r="H9" i="1"/>
  <c r="F367" i="1"/>
  <c r="H208" i="1"/>
  <c r="G200" i="1"/>
  <c r="J468" i="1"/>
  <c r="J96" i="1"/>
  <c r="G611" i="1"/>
  <c r="G526" i="1"/>
  <c r="K531" i="1"/>
  <c r="H526" i="1"/>
  <c r="F526" i="1"/>
  <c r="J526" i="1"/>
  <c r="I526" i="1"/>
  <c r="I521" i="1"/>
  <c r="H521" i="1"/>
  <c r="G521" i="1"/>
  <c r="F521" i="1"/>
  <c r="I358" i="1"/>
  <c r="G358" i="1"/>
  <c r="I205" i="1" l="1"/>
  <c r="I203" i="1"/>
  <c r="I202" i="1"/>
  <c r="H204" i="1"/>
  <c r="H203" i="1"/>
  <c r="H202" i="1"/>
  <c r="G204" i="1"/>
  <c r="G203" i="1"/>
  <c r="G202" i="1"/>
  <c r="F204" i="1"/>
  <c r="F203" i="1"/>
  <c r="F202" i="1"/>
  <c r="F200" i="1"/>
  <c r="H155" i="1"/>
  <c r="G97" i="1"/>
  <c r="F110" i="1"/>
  <c r="H159" i="1"/>
  <c r="H150" i="1"/>
  <c r="H45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E8" i="13" s="1"/>
  <c r="C8" i="13" s="1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D14" i="13" s="1"/>
  <c r="C14" i="13" s="1"/>
  <c r="G14" i="13"/>
  <c r="L207" i="1"/>
  <c r="C123" i="2" s="1"/>
  <c r="L225" i="1"/>
  <c r="L243" i="1"/>
  <c r="F15" i="13"/>
  <c r="G15" i="13"/>
  <c r="L208" i="1"/>
  <c r="G649" i="1" s="1"/>
  <c r="L226" i="1"/>
  <c r="L244" i="1"/>
  <c r="F17" i="13"/>
  <c r="G17" i="13"/>
  <c r="D17" i="13" s="1"/>
  <c r="C17" i="13" s="1"/>
  <c r="L251" i="1"/>
  <c r="F18" i="13"/>
  <c r="G18" i="13"/>
  <c r="D18" i="13" s="1"/>
  <c r="C18" i="13" s="1"/>
  <c r="L252" i="1"/>
  <c r="F19" i="13"/>
  <c r="D19" i="13" s="1"/>
  <c r="C19" i="13" s="1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C11" i="10" s="1"/>
  <c r="L278" i="1"/>
  <c r="L279" i="1"/>
  <c r="L281" i="1"/>
  <c r="E118" i="2" s="1"/>
  <c r="L282" i="1"/>
  <c r="E119" i="2" s="1"/>
  <c r="L283" i="1"/>
  <c r="E120" i="2" s="1"/>
  <c r="L284" i="1"/>
  <c r="L285" i="1"/>
  <c r="C19" i="10" s="1"/>
  <c r="L286" i="1"/>
  <c r="E123" i="2" s="1"/>
  <c r="L287" i="1"/>
  <c r="E124" i="2" s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C35" i="10" s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G162" i="1"/>
  <c r="H147" i="1"/>
  <c r="H162" i="1"/>
  <c r="I147" i="1"/>
  <c r="I162" i="1"/>
  <c r="I169" i="1" s="1"/>
  <c r="C18" i="10"/>
  <c r="L250" i="1"/>
  <c r="L332" i="1"/>
  <c r="L254" i="1"/>
  <c r="C25" i="10"/>
  <c r="L268" i="1"/>
  <c r="L269" i="1"/>
  <c r="C143" i="2" s="1"/>
  <c r="L349" i="1"/>
  <c r="L350" i="1"/>
  <c r="E143" i="2" s="1"/>
  <c r="I665" i="1"/>
  <c r="I670" i="1"/>
  <c r="F661" i="1"/>
  <c r="G662" i="1"/>
  <c r="H662" i="1"/>
  <c r="I669" i="1"/>
  <c r="C42" i="10"/>
  <c r="C32" i="10"/>
  <c r="L374" i="1"/>
  <c r="L375" i="1"/>
  <c r="F130" i="2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E114" i="2"/>
  <c r="D115" i="2"/>
  <c r="F115" i="2"/>
  <c r="G115" i="2"/>
  <c r="E121" i="2"/>
  <c r="C122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H641" i="1" s="1"/>
  <c r="F470" i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J641" i="1" s="1"/>
  <c r="G643" i="1"/>
  <c r="G644" i="1"/>
  <c r="G645" i="1"/>
  <c r="G650" i="1"/>
  <c r="G652" i="1"/>
  <c r="H652" i="1"/>
  <c r="G653" i="1"/>
  <c r="H653" i="1"/>
  <c r="G654" i="1"/>
  <c r="H654" i="1"/>
  <c r="H655" i="1"/>
  <c r="L328" i="1"/>
  <c r="G161" i="2"/>
  <c r="E13" i="13"/>
  <c r="C13" i="13" s="1"/>
  <c r="H112" i="1"/>
  <c r="K550" i="1"/>
  <c r="J552" i="1"/>
  <c r="H140" i="1"/>
  <c r="F22" i="13"/>
  <c r="C22" i="13" s="1"/>
  <c r="H25" i="13"/>
  <c r="C25" i="13" s="1"/>
  <c r="L309" i="1"/>
  <c r="L570" i="1"/>
  <c r="G36" i="2"/>
  <c r="J643" i="1" l="1"/>
  <c r="I476" i="1"/>
  <c r="H625" i="1" s="1"/>
  <c r="J625" i="1" s="1"/>
  <c r="J338" i="1"/>
  <c r="J352" i="1" s="1"/>
  <c r="K338" i="1"/>
  <c r="K352" i="1" s="1"/>
  <c r="E110" i="2"/>
  <c r="E115" i="2" s="1"/>
  <c r="C26" i="10"/>
  <c r="H476" i="1"/>
  <c r="H624" i="1" s="1"/>
  <c r="H192" i="1"/>
  <c r="C21" i="10"/>
  <c r="F662" i="1"/>
  <c r="I662" i="1" s="1"/>
  <c r="C124" i="2"/>
  <c r="C128" i="2" s="1"/>
  <c r="C111" i="2"/>
  <c r="J476" i="1"/>
  <c r="H626" i="1" s="1"/>
  <c r="L393" i="1"/>
  <c r="C138" i="2" s="1"/>
  <c r="J655" i="1"/>
  <c r="F476" i="1"/>
  <c r="H622" i="1" s="1"/>
  <c r="J622" i="1" s="1"/>
  <c r="H408" i="1"/>
  <c r="H644" i="1" s="1"/>
  <c r="J644" i="1" s="1"/>
  <c r="G408" i="1"/>
  <c r="H645" i="1" s="1"/>
  <c r="J645" i="1" s="1"/>
  <c r="J639" i="1"/>
  <c r="A40" i="12"/>
  <c r="A13" i="12"/>
  <c r="J649" i="1"/>
  <c r="H545" i="1"/>
  <c r="J545" i="1"/>
  <c r="K545" i="1"/>
  <c r="D50" i="2"/>
  <c r="G81" i="2"/>
  <c r="F78" i="2"/>
  <c r="F81" i="2" s="1"/>
  <c r="D62" i="2"/>
  <c r="D63" i="2" s="1"/>
  <c r="H33" i="13"/>
  <c r="G164" i="2"/>
  <c r="G157" i="2"/>
  <c r="G156" i="2"/>
  <c r="F18" i="2"/>
  <c r="G62" i="2"/>
  <c r="G63" i="2" s="1"/>
  <c r="G545" i="1"/>
  <c r="K549" i="1"/>
  <c r="F552" i="1"/>
  <c r="H571" i="1"/>
  <c r="I571" i="1"/>
  <c r="F571" i="1"/>
  <c r="L382" i="1"/>
  <c r="G636" i="1" s="1"/>
  <c r="J636" i="1" s="1"/>
  <c r="C29" i="10"/>
  <c r="D29" i="13"/>
  <c r="C29" i="13" s="1"/>
  <c r="D127" i="2"/>
  <c r="D128" i="2" s="1"/>
  <c r="D145" i="2" s="1"/>
  <c r="H661" i="1"/>
  <c r="I661" i="1" s="1"/>
  <c r="E122" i="2"/>
  <c r="E128" i="2" s="1"/>
  <c r="C16" i="10"/>
  <c r="L290" i="1"/>
  <c r="L338" i="1" s="1"/>
  <c r="D15" i="13"/>
  <c r="C15" i="13" s="1"/>
  <c r="H647" i="1"/>
  <c r="J647" i="1" s="1"/>
  <c r="G651" i="1"/>
  <c r="J651" i="1" s="1"/>
  <c r="L247" i="1"/>
  <c r="C110" i="2"/>
  <c r="L229" i="1"/>
  <c r="H257" i="1"/>
  <c r="H271" i="1" s="1"/>
  <c r="C10" i="10"/>
  <c r="L351" i="1"/>
  <c r="L270" i="1"/>
  <c r="C17" i="10"/>
  <c r="K257" i="1"/>
  <c r="K271" i="1" s="1"/>
  <c r="C13" i="10"/>
  <c r="E16" i="13"/>
  <c r="C16" i="13" s="1"/>
  <c r="C125" i="2"/>
  <c r="D12" i="13"/>
  <c r="C12" i="13" s="1"/>
  <c r="C119" i="2"/>
  <c r="D7" i="13"/>
  <c r="C7" i="13" s="1"/>
  <c r="C20" i="10"/>
  <c r="G257" i="1"/>
  <c r="G271" i="1" s="1"/>
  <c r="C15" i="10"/>
  <c r="D6" i="13"/>
  <c r="C6" i="13" s="1"/>
  <c r="L211" i="1"/>
  <c r="D5" i="13"/>
  <c r="C5" i="13" s="1"/>
  <c r="C109" i="2"/>
  <c r="F257" i="1"/>
  <c r="F271" i="1" s="1"/>
  <c r="E62" i="2"/>
  <c r="E103" i="2"/>
  <c r="H169" i="1"/>
  <c r="D81" i="2"/>
  <c r="C91" i="2"/>
  <c r="C70" i="2"/>
  <c r="F112" i="1"/>
  <c r="C36" i="10" s="1"/>
  <c r="C62" i="2"/>
  <c r="C63" i="2" s="1"/>
  <c r="E31" i="2"/>
  <c r="H52" i="1"/>
  <c r="H619" i="1" s="1"/>
  <c r="J619" i="1" s="1"/>
  <c r="D31" i="2"/>
  <c r="D18" i="2"/>
  <c r="J617" i="1"/>
  <c r="C18" i="2"/>
  <c r="J640" i="1"/>
  <c r="J271" i="1"/>
  <c r="L544" i="1"/>
  <c r="L524" i="1"/>
  <c r="H552" i="1"/>
  <c r="F169" i="1"/>
  <c r="E81" i="2"/>
  <c r="H660" i="1"/>
  <c r="G624" i="1"/>
  <c r="L534" i="1"/>
  <c r="K500" i="1"/>
  <c r="I460" i="1"/>
  <c r="I452" i="1"/>
  <c r="I446" i="1"/>
  <c r="G642" i="1" s="1"/>
  <c r="C78" i="2"/>
  <c r="E56" i="2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G140" i="1"/>
  <c r="F140" i="1"/>
  <c r="J618" i="1"/>
  <c r="G42" i="2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G50" i="2"/>
  <c r="J652" i="1"/>
  <c r="G571" i="1"/>
  <c r="I434" i="1"/>
  <c r="G434" i="1"/>
  <c r="I663" i="1"/>
  <c r="C27" i="10"/>
  <c r="G635" i="1"/>
  <c r="J635" i="1" s="1"/>
  <c r="I461" i="1" l="1"/>
  <c r="H642" i="1" s="1"/>
  <c r="J642" i="1" s="1"/>
  <c r="L408" i="1"/>
  <c r="G637" i="1" s="1"/>
  <c r="J637" i="1" s="1"/>
  <c r="C141" i="2"/>
  <c r="C144" i="2" s="1"/>
  <c r="H648" i="1"/>
  <c r="J648" i="1" s="1"/>
  <c r="J624" i="1"/>
  <c r="H193" i="1"/>
  <c r="G629" i="1" s="1"/>
  <c r="J629" i="1" s="1"/>
  <c r="E145" i="2"/>
  <c r="H646" i="1"/>
  <c r="J646" i="1" s="1"/>
  <c r="K552" i="1"/>
  <c r="K560" i="1" s="1"/>
  <c r="K571" i="1" s="1"/>
  <c r="G51" i="2"/>
  <c r="E51" i="2"/>
  <c r="C81" i="2"/>
  <c r="C104" i="2" s="1"/>
  <c r="C115" i="2"/>
  <c r="H664" i="1"/>
  <c r="H667" i="1" s="1"/>
  <c r="F660" i="1"/>
  <c r="F664" i="1" s="1"/>
  <c r="F672" i="1" s="1"/>
  <c r="C4" i="10" s="1"/>
  <c r="G672" i="1"/>
  <c r="C5" i="10" s="1"/>
  <c r="L352" i="1"/>
  <c r="G633" i="1" s="1"/>
  <c r="J633" i="1" s="1"/>
  <c r="E33" i="13"/>
  <c r="D35" i="13" s="1"/>
  <c r="C28" i="10"/>
  <c r="D19" i="10" s="1"/>
  <c r="L257" i="1"/>
  <c r="L271" i="1" s="1"/>
  <c r="G632" i="1" s="1"/>
  <c r="J632" i="1" s="1"/>
  <c r="E63" i="2"/>
  <c r="E104" i="2" s="1"/>
  <c r="D104" i="2"/>
  <c r="C39" i="10"/>
  <c r="F193" i="1"/>
  <c r="G627" i="1" s="1"/>
  <c r="J627" i="1" s="1"/>
  <c r="D31" i="13"/>
  <c r="C31" i="13" s="1"/>
  <c r="L545" i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72" i="1"/>
  <c r="C6" i="10" s="1"/>
  <c r="D33" i="13"/>
  <c r="D36" i="13" s="1"/>
  <c r="F667" i="1"/>
  <c r="I660" i="1"/>
  <c r="I664" i="1" s="1"/>
  <c r="I672" i="1" s="1"/>
  <c r="C7" i="10" s="1"/>
  <c r="D11" i="10"/>
  <c r="D21" i="10"/>
  <c r="D22" i="10"/>
  <c r="D13" i="10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<sst xmlns="http://schemas.openxmlformats.org/spreadsheetml/2006/main" count="3957" uniqueCount="913">
  <si>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</si>
  <si>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</si>
  <si>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</si>
  <si>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</si>
  <si>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</si>
  <si>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</si>
  <si>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</si>
  <si>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</si>
  <si>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</si>
  <si>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</si>
  <si>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</si>
  <si>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</si>
  <si>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</si>
  <si>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</si>
  <si>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</si>
  <si>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</si>
  <si>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</si>
  <si>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</si>
  <si>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</si>
  <si>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</si>
  <si>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</si>
  <si>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</si>
  <si>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</si>
  <si>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</si>
  <si>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</si>
  <si>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</si>
  <si>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</si>
  <si>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</si>
  <si>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</si>
  <si>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</si>
  <si>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</si>
  <si>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</si>
  <si>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</si>
  <si>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</si>
  <si>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</si>
  <si>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</si>
  <si>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</si>
  <si>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</si>
  <si>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</si>
  <si>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</si>
  <si>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</si>
  <si>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</si>
  <si>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</si>
  <si>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</si>
  <si>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</si>
  <si>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</si>
  <si>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</si>
  <si>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</si>
  <si>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</si>
  <si>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</si>
  <si>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</si>
  <si>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</si>
  <si>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</si>
  <si>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</si>
  <si>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</si>
  <si>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</si>
  <si>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</si>
  <si>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</si>
  <si>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</si>
  <si>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</si>
  <si>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</si>
  <si>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</si>
  <si>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</si>
  <si>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</si>
  <si>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</si>
  <si>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</si>
  <si>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</si>
  <si>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</si>
  <si>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</si>
  <si>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</si>
  <si>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</si>
  <si>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</si>
  <si>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</si>
  <si>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</si>
  <si>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</si>
  <si>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</si>
  <si>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</si>
  <si>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</si>
  <si>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</si>
  <si>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</si>
  <si>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</si>
  <si>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</si>
  <si>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</si>
  <si>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</si>
  <si>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</si>
  <si>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</si>
  <si>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</si>
  <si>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</si>
  <si>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</si>
  <si>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</si>
  <si>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</si>
  <si>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</si>
  <si>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</si>
  <si>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</si>
  <si>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</si>
  <si>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</si>
  <si>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</si>
  <si>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</si>
  <si>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</si>
  <si>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</si>
  <si>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</si>
  <si>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</si>
  <si>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</si>
  <si>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</si>
  <si>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</si>
  <si>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</si>
  <si>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</si>
  <si>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</si>
  <si>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</si>
  <si>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</si>
  <si>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</si>
  <si>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</si>
  <si>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</si>
  <si>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</si>
  <si>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</si>
  <si>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</si>
  <si>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</si>
  <si>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</si>
  <si>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</si>
  <si>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</si>
  <si>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</si>
  <si>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</si>
  <si>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</si>
  <si>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</si>
  <si>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</si>
  <si>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</si>
  <si>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</si>
  <si>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</si>
  <si>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</si>
  <si>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</si>
  <si>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</si>
  <si>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</si>
  <si>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</si>
  <si>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</si>
  <si>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</si>
  <si>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</si>
  <si>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</si>
  <si>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</si>
  <si>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</si>
  <si>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</si>
  <si>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</si>
  <si>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</si>
  <si>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</si>
  <si>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</si>
  <si>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</si>
  <si>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</si>
  <si>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</si>
  <si>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</si>
  <si>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</si>
  <si>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</si>
  <si>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</si>
  <si>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</si>
  <si>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</si>
  <si>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</si>
  <si>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</si>
  <si>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</si>
  <si>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</si>
  <si>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</si>
  <si>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</si>
  <si>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</si>
  <si>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</si>
  <si>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</si>
  <si>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</si>
  <si>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</si>
  <si>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</si>
  <si>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</si>
  <si>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</si>
  <si>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</si>
  <si>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</si>
  <si>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</si>
  <si>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</si>
  <si>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</si>
  <si>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</si>
  <si>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</si>
  <si>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</si>
  <si>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</si>
  <si>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</si>
  <si>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</si>
  <si>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</si>
  <si>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</si>
  <si>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</si>
  <si>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</si>
  <si>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</si>
  <si>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</si>
  <si>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</si>
  <si>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</si>
  <si>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</si>
  <si>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</si>
  <si>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</si>
  <si>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</si>
  <si>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</si>
  <si>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</si>
  <si>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</si>
  <si>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</si>
  <si>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</si>
  <si>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</si>
  <si>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</si>
  <si>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</si>
  <si>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</si>
  <si>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</si>
  <si>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</si>
  <si>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</si>
  <si>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</si>
  <si>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</si>
  <si>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</si>
  <si>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</si>
  <si>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</si>
  <si>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</si>
  <si>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</si>
  <si>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</si>
  <si>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</si>
  <si>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</si>
  <si>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</si>
  <si>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</si>
  <si>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</si>
  <si>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</si>
  <si>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</si>
  <si>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</si>
  <si>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</si>
  <si>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</si>
  <si>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</si>
  <si>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</si>
  <si>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</si>
  <si>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</si>
  <si>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</si>
  <si>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</si>
  <si>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</si>
  <si>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</si>
  <si>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</si>
  <si>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</si>
  <si>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</si>
  <si>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</si>
  <si>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</si>
  <si>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</si>
  <si>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</si>
  <si>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</si>
  <si>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</si>
  <si>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</si>
  <si>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</si>
  <si>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</si>
  <si>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</si>
  <si>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</si>
  <si>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</si>
  <si>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</si>
  <si>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</si>
  <si>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</si>
  <si>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</si>
  <si>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</si>
  <si>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</si>
  <si>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</si>
  <si>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</si>
  <si>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</si>
  <si>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</si>
  <si>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</si>
  <si>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</si>
  <si>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</si>
  <si>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</si>
  <si>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</si>
  <si>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</si>
  <si>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</si>
  <si>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</si>
  <si>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</si>
  <si>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</si>
  <si>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</si>
  <si>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</si>
  <si>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</si>
  <si>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</si>
  <si>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</si>
  <si>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</si>
  <si>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</si>
  <si>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</si>
  <si>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</si>
  <si>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</si>
  <si>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</si>
  <si>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</si>
  <si>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</si>
  <si>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</si>
  <si>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</si>
  <si>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</si>
  <si>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</si>
  <si>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</si>
  <si>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</si>
  <si>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</si>
  <si>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</si>
  <si>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</si>
  <si>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</si>
  <si>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</si>
  <si>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</si>
  <si>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</si>
  <si>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</si>
  <si>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</si>
  <si>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</si>
  <si>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</si>
  <si>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</si>
  <si>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</si>
  <si>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</si>
  <si>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</si>
  <si>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</si>
  <si>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</si>
  <si>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</si>
  <si>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</si>
  <si>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</si>
  <si>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</si>
  <si>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</si>
  <si>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</si>
  <si>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</si>
  <si>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</si>
  <si>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</si>
  <si>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</si>
  <si>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</si>
  <si>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</si>
  <si>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</si>
  <si>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</si>
  <si>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</si>
  <si>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</si>
  <si>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</si>
  <si>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</si>
  <si>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</si>
  <si>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</si>
  <si>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</si>
  <si>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</si>
  <si>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</si>
  <si>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</si>
  <si>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</si>
  <si>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</si>
  <si>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</si>
  <si>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</si>
  <si>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</si>
  <si>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</si>
  <si>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</si>
  <si>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</si>
  <si>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</si>
  <si>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</si>
  <si>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</si>
  <si>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</si>
  <si>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</si>
  <si>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</si>
  <si>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</si>
  <si>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</si>
  <si>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</si>
  <si>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</si>
  <si>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</si>
  <si>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</si>
  <si>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</si>
  <si>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</si>
  <si>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</si>
  <si>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</si>
  <si>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</si>
  <si>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</si>
  <si>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</si>
  <si>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</si>
  <si>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</si>
  <si>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</si>
  <si>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</si>
  <si>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</si>
  <si>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</si>
  <si>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</si>
  <si>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</si>
  <si>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</si>
  <si>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</si>
  <si>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</si>
  <si>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</si>
  <si>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</si>
  <si>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</si>
  <si>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</si>
  <si>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</si>
  <si>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</si>
  <si>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</si>
  <si>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</si>
  <si>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</si>
  <si>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</si>
  <si>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</si>
  <si>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</si>
  <si>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</si>
  <si>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</si>
  <si>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</si>
  <si>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</si>
  <si>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</si>
  <si>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</si>
  <si>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</si>
  <si>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</si>
  <si>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</si>
  <si>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</si>
  <si>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</si>
  <si>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</si>
  <si>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</si>
  <si>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</si>
  <si>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</si>
  <si>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</si>
  <si>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</si>
  <si>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</si>
  <si>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</si>
  <si>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</si>
  <si>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</si>
  <si>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</si>
  <si>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</si>
  <si>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</si>
  <si>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</si>
  <si>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</si>
  <si>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</si>
  <si>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</si>
  <si>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</si>
  <si>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</si>
  <si>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</si>
  <si>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</si>
  <si>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</si>
  <si>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</si>
  <si>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</si>
  <si>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</si>
  <si>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</si>
  <si>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</si>
  <si>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</si>
  <si>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</si>
  <si>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</si>
  <si>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</si>
  <si>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</si>
  <si>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</si>
  <si>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</si>
  <si>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</si>
  <si>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</si>
  <si>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</si>
  <si>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</si>
  <si>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</si>
  <si>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</si>
  <si>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</si>
  <si>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</si>
  <si>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</si>
  <si>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</si>
  <si>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</si>
  <si>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</si>
  <si>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</si>
  <si>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</si>
  <si>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</si>
  <si>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</si>
  <si>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</si>
  <si>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</si>
  <si>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</si>
  <si>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</si>
  <si>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</si>
  <si>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</si>
  <si>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</si>
  <si>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</si>
  <si>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</si>
  <si>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</si>
  <si>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</si>
  <si>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</si>
  <si>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</si>
  <si>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</si>
  <si>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</si>
  <si>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</si>
  <si>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</si>
  <si>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</si>
  <si>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</si>
  <si>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</si>
  <si>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</si>
  <si>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</si>
  <si>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</si>
  <si>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</si>
  <si>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</si>
  <si>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</si>
  <si>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</si>
  <si>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</si>
  <si>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</si>
  <si>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</si>
  <si>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</si>
  <si>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</si>
  <si>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</si>
  <si>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</si>
  <si>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</si>
  <si>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</si>
  <si>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</si>
  <si>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</si>
  <si>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</si>
  <si>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</si>
  <si>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</si>
  <si>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</si>
  <si>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</si>
  <si>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</si>
  <si>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</si>
  <si>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</si>
  <si>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</si>
  <si>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</si>
  <si>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</si>
  <si>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</si>
  <si>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</si>
  <si>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</si>
  <si>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</si>
  <si>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</si>
  <si>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</si>
  <si>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</si>
  <si>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</si>
  <si>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</si>
  <si>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</si>
  <si>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</si>
  <si>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</si>
  <si>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</si>
  <si>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</si>
  <si>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</si>
  <si>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</si>
  <si>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</si>
  <si>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</si>
  <si>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</si>
  <si>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</si>
  <si>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</si>
  <si>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</si>
  <si>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</si>
  <si>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</si>
  <si>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</si>
  <si>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</si>
  <si>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</si>
  <si>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</si>
  <si>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</si>
  <si>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</si>
  <si>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</si>
  <si>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</si>
  <si>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</si>
  <si>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</si>
  <si>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</si>
  <si>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</si>
  <si>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</si>
  <si>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</si>
  <si>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</si>
  <si>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</si>
  <si>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</si>
  <si>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</si>
  <si>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</si>
  <si>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</si>
  <si>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</si>
  <si>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</si>
  <si>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</si>
  <si>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</si>
  <si>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</si>
  <si>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</si>
  <si>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</si>
  <si>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</si>
  <si>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</si>
  <si>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</si>
  <si>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</si>
  <si>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</si>
  <si>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</si>
  <si>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</si>
  <si>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</si>
  <si>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</si>
  <si>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</si>
  <si>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</si>
  <si>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</si>
  <si>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</si>
  <si>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</si>
  <si>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</si>
  <si>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</si>
  <si>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</si>
  <si>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</si>
  <si>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</si>
  <si>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</si>
  <si>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</si>
  <si>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</si>
  <si>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</si>
  <si>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</si>
  <si>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</si>
  <si>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</si>
  <si>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</si>
  <si>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</si>
  <si>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</si>
  <si>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</si>
  <si>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</si>
  <si>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</si>
  <si>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</si>
  <si>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</si>
  <si>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</si>
  <si>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</si>
  <si>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</si>
  <si>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</si>
  <si>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</si>
  <si>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</si>
  <si>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</si>
  <si>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</si>
  <si>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</si>
  <si>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</si>
  <si>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</si>
  <si>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</si>
  <si>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</si>
  <si>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</si>
  <si>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</si>
  <si>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</si>
  <si>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</si>
  <si>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</si>
  <si>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</si>
  <si>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</si>
  <si>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</si>
  <si>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</si>
  <si>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</si>
  <si>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</si>
  <si>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</si>
  <si>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</si>
  <si>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</si>
  <si>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</si>
  <si>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</si>
  <si>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</si>
  <si>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</si>
  <si>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</si>
  <si>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</si>
  <si>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</si>
  <si>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</si>
  <si>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</si>
  <si>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</si>
  <si>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</si>
  <si>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</si>
  <si>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</si>
  <si>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</si>
  <si>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</si>
  <si>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</si>
  <si>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</si>
  <si>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</si>
  <si>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</si>
  <si>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</si>
  <si>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</si>
  <si>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</si>
  <si>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</si>
  <si>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</si>
  <si>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</si>
  <si>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</si>
  <si>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</si>
  <si>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</si>
  <si>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</si>
  <si>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</si>
  <si>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</si>
  <si>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</si>
  <si>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</si>
  <si>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</si>
  <si>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</si>
  <si>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</si>
  <si>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</si>
  <si>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</si>
  <si>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</si>
  <si>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</si>
  <si>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</si>
  <si>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</si>
  <si>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</si>
  <si>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</si>
  <si>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</si>
  <si>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</si>
  <si>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</si>
  <si>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</si>
  <si>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</si>
  <si>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</si>
  <si>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</si>
  <si>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</si>
  <si>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</si>
  <si>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</si>
  <si>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</si>
  <si>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</si>
  <si>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</si>
  <si>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</si>
  <si>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</si>
  <si>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</si>
  <si>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</si>
  <si>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</si>
  <si>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</si>
  <si>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</si>
  <si>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</si>
  <si>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</si>
  <si>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</si>
  <si>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</si>
  <si>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</si>
  <si>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</si>
  <si>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</si>
  <si>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</si>
  <si>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</si>
  <si>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</si>
  <si>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</si>
  <si>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</si>
  <si>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</si>
  <si>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</si>
  <si>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</si>
  <si>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</si>
  <si>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</si>
  <si>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</si>
  <si>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</si>
  <si>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</si>
  <si>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</si>
  <si>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</si>
  <si>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</si>
  <si>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</si>
  <si>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</si>
  <si>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</si>
  <si>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</si>
  <si>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</si>
  <si>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</si>
  <si>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</si>
  <si>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</si>
  <si>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</si>
  <si>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</si>
  <si>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</si>
  <si>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</si>
  <si>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</si>
  <si>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</si>
  <si>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</si>
  <si>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</si>
  <si>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</si>
  <si>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</si>
  <si>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</si>
  <si>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</si>
  <si>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</si>
  <si>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</si>
  <si>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</si>
  <si>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</si>
  <si>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</si>
  <si>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</si>
  <si>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</si>
  <si>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</si>
  <si>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</si>
  <si>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</si>
  <si>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</si>
  <si>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</si>
  <si>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</si>
  <si>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</si>
  <si>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</si>
  <si>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</si>
  <si>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</si>
  <si>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</si>
  <si>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</si>
  <si>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</si>
  <si>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</si>
  <si>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</si>
  <si>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</si>
  <si>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</si>
  <si>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</si>
  <si>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</si>
  <si>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</si>
  <si>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</si>
  <si>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</si>
  <si>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</si>
  <si>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</si>
  <si>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</si>
  <si>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</si>
  <si>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</si>
  <si>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</si>
  <si>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</si>
  <si>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</si>
  <si>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</si>
  <si>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</si>
  <si>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</si>
  <si>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</si>
  <si>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</si>
  <si>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</si>
  <si>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</si>
  <si>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</si>
  <si>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</si>
  <si>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</si>
  <si>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</si>
  <si>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</si>
  <si>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</si>
  <si>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</si>
  <si>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</si>
  <si>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</si>
  <si>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</si>
  <si>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</si>
  <si>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</si>
  <si>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</si>
  <si>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</si>
  <si>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</si>
  <si>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</si>
  <si>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</si>
  <si>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</si>
  <si>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</si>
  <si>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</si>
  <si>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</si>
  <si>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</si>
  <si>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</si>
  <si>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</si>
  <si>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</si>
  <si>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</si>
  <si>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</si>
  <si>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</si>
  <si>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</si>
  <si>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</si>
  <si>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</si>
  <si>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</si>
  <si>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</si>
  <si>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</si>
  <si>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</si>
  <si>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</si>
  <si>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</si>
  <si>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</si>
  <si>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</si>
  <si>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</si>
  <si>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</si>
  <si>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</si>
  <si>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</si>
  <si>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</si>
  <si>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</si>
  <si>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</si>
  <si>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</si>
  <si>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</si>
  <si>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</si>
  <si>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</si>
  <si>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</si>
  <si>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</si>
  <si>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</si>
  <si>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</si>
  <si>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</si>
  <si>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</si>
  <si>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</si>
  <si>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</si>
  <si>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</si>
  <si>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</si>
  <si>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</si>
  <si>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</si>
  <si>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</si>
  <si>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</si>
  <si>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</si>
  <si>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</si>
  <si>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</si>
  <si>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</si>
  <si>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</si>
  <si>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</si>
  <si>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</si>
  <si>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</si>
  <si>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</si>
  <si>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</si>
  <si>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</si>
  <si>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</si>
  <si>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</si>
  <si>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</si>
  <si>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</si>
  <si>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</si>
  <si>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</si>
  <si>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</si>
  <si>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</si>
  <si>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</si>
  <si>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</si>
  <si>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</si>
  <si>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</si>
  <si>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</si>
  <si>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</si>
  <si>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</si>
  <si>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</si>
  <si>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</si>
  <si>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</si>
  <si>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</si>
  <si>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</si>
  <si>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</si>
  <si>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</si>
  <si>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</si>
  <si>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</si>
  <si>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</si>
  <si>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</si>
  <si>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</si>
  <si>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</si>
  <si>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</si>
  <si>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</si>
  <si>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</si>
  <si>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</si>
  <si>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</si>
  <si>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</si>
  <si>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</si>
  <si>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</si>
  <si>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</si>
  <si>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</si>
  <si>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</si>
  <si>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</si>
  <si>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</si>
  <si>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</si>
  <si>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</si>
  <si>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</si>
  <si>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</si>
  <si>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</si>
  <si>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</si>
  <si>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</si>
  <si>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</si>
  <si>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</si>
  <si>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</si>
  <si>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</si>
  <si>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</si>
  <si>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</si>
  <si>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</si>
  <si>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</si>
  <si>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</si>
  <si>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</si>
  <si>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</si>
  <si>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</si>
  <si>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</si>
  <si>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</si>
  <si>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</si>
  <si>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</si>
  <si>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</si>
  <si>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</si>
  <si>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</si>
  <si>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</si>
  <si>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</si>
  <si>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</si>
  <si>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</si>
  <si>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</si>
  <si>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</si>
  <si>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</si>
  <si>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</si>
  <si>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</si>
  <si>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</si>
  <si>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</si>
  <si>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</si>
  <si>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</si>
  <si>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</si>
  <si>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</si>
  <si>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</si>
  <si>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</si>
  <si>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</si>
  <si>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</si>
  <si>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</si>
  <si>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</si>
  <si>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</si>
  <si>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</si>
  <si>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</si>
  <si>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Harrisville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</si>
</sst>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topLeftCell="A634" zoomScaleNormal="100" workbookViewId="0">
      <selection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235</v>
      </c>
      <c r="C2" s="21">
        <v>235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-7771+-22929.91</f>
        <v>-30700.91</v>
      </c>
      <c r="G9" s="18">
        <v>0</v>
      </c>
      <c r="H9" s="18">
        <f>18.88+40344.58+200</f>
        <v>40563.46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242640.76</v>
      </c>
      <c r="G10" s="18"/>
      <c r="H10" s="18"/>
      <c r="I10" s="18"/>
      <c r="J10" s="67">
        <f>SUM(I440)</f>
        <v>295460.84999999998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275.52+1348.21</f>
        <v>1623.73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12622.23</v>
      </c>
      <c r="G13" s="18">
        <v>740.12</v>
      </c>
      <c r="H13" s="18">
        <v>1581.77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17.8</v>
      </c>
      <c r="H14" s="18">
        <v>374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226185.81000000003</v>
      </c>
      <c r="G19" s="41">
        <f>SUM(G9:G18)</f>
        <v>757.92</v>
      </c>
      <c r="H19" s="41">
        <f>SUM(H9:H18)</f>
        <v>42519.229999999996</v>
      </c>
      <c r="I19" s="41">
        <f>SUM(I9:I18)</f>
        <v>0</v>
      </c>
      <c r="J19" s="41">
        <f>SUM(J9:J18)</f>
        <v>295460.84999999998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275.52</v>
      </c>
      <c r="H22" s="18">
        <v>1348.21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385.87</v>
      </c>
      <c r="G23" s="18">
        <v>482.4</v>
      </c>
      <c r="H23" s="18">
        <v>233.56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25848.880000000001</v>
      </c>
      <c r="G24" s="18"/>
      <c r="H24" s="18">
        <v>33.909999999999997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11758.97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37993.72</v>
      </c>
      <c r="G32" s="41">
        <f>SUM(G22:G31)</f>
        <v>757.92</v>
      </c>
      <c r="H32" s="41">
        <f>SUM(H22:H31)</f>
        <v>1615.68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>
        <v>18.88</v>
      </c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4031.43</v>
      </c>
      <c r="G45" s="18"/>
      <c r="H45" s="18">
        <f>400+40484.67</f>
        <v>40884.67</v>
      </c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295460.84999999998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84160.66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188192.09</v>
      </c>
      <c r="G51" s="41">
        <f>SUM(G35:G50)</f>
        <v>0</v>
      </c>
      <c r="H51" s="41">
        <f>SUM(H35:H50)</f>
        <v>40903.549999999996</v>
      </c>
      <c r="I51" s="41">
        <f>SUM(I35:I50)</f>
        <v>0</v>
      </c>
      <c r="J51" s="41">
        <f>SUM(J35:J50)</f>
        <v>295460.84999999998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226185.81</v>
      </c>
      <c r="G52" s="41">
        <f>G51+G32</f>
        <v>757.92</v>
      </c>
      <c r="H52" s="41">
        <f>H51+H32</f>
        <v>42519.229999999996</v>
      </c>
      <c r="I52" s="41">
        <f>I51+I32</f>
        <v>0</v>
      </c>
      <c r="J52" s="41">
        <f>J51+J32</f>
        <v>295460.84999999998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1372685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1372685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10938.75</v>
      </c>
      <c r="G63" s="24" t="s">
        <v>286</v>
      </c>
      <c r="H63" s="18">
        <v>18678.650000000001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991.25</v>
      </c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11930</v>
      </c>
      <c r="G79" s="45" t="s">
        <v>286</v>
      </c>
      <c r="H79" s="41">
        <f>SUM(H63:H78)</f>
        <v>18678.650000000001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3154.01</v>
      </c>
      <c r="G96" s="18"/>
      <c r="H96" s="18"/>
      <c r="I96" s="18"/>
      <c r="J96" s="18">
        <f>1556.87+2257.84</f>
        <v>3814.71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8735.15+2163.7+345.5+617.7</f>
        <v>11862.05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2250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12039.37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398.13</v>
      </c>
      <c r="G109" s="18"/>
      <c r="H109" s="18">
        <v>107.14</v>
      </c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2430.42+3923.87</f>
        <v>6354.29</v>
      </c>
      <c r="G110" s="18"/>
      <c r="H110" s="18">
        <v>1570.89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21945.8</v>
      </c>
      <c r="G111" s="41">
        <f>SUM(G96:G110)</f>
        <v>11862.05</v>
      </c>
      <c r="H111" s="41">
        <f>SUM(H96:H110)</f>
        <v>3928.0299999999997</v>
      </c>
      <c r="I111" s="41">
        <f>SUM(I96:I110)</f>
        <v>0</v>
      </c>
      <c r="J111" s="41">
        <f>SUM(J96:J110)</f>
        <v>3814.71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1406560.8</v>
      </c>
      <c r="G112" s="41">
        <f>G60+G111</f>
        <v>11862.05</v>
      </c>
      <c r="H112" s="41">
        <f>H60+H79+H94+H111</f>
        <v>22606.68</v>
      </c>
      <c r="I112" s="41">
        <f>I60+I111</f>
        <v>0</v>
      </c>
      <c r="J112" s="41">
        <f>J60+J111</f>
        <v>3814.71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435025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996.25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436021.25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272.11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272.11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436021.25</v>
      </c>
      <c r="G140" s="41">
        <f>G121+SUM(G136:G137)</f>
        <v>272.11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f>15.41+351.32</f>
        <v>366.73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245.07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6279.52+6116.37</f>
        <v>12395.89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8299.6299999999992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42.73+1744.55+942.4</f>
        <v>2729.68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10109.49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10109.49</v>
      </c>
      <c r="G162" s="41">
        <f>SUM(G150:G161)</f>
        <v>8299.6299999999992</v>
      </c>
      <c r="H162" s="41">
        <f>SUM(H150:H161)</f>
        <v>15737.369999999999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10109.49</v>
      </c>
      <c r="G169" s="41">
        <f>G147+G162+SUM(G163:G168)</f>
        <v>8299.6299999999992</v>
      </c>
      <c r="H169" s="41">
        <f>H147+H162+SUM(H163:H168)</f>
        <v>15737.369999999999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20029.8</v>
      </c>
      <c r="H179" s="18">
        <v>10000</v>
      </c>
      <c r="I179" s="18"/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20029.8</v>
      </c>
      <c r="H183" s="41">
        <f>SUM(H179:H182)</f>
        <v>10000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20029.8</v>
      </c>
      <c r="H192" s="41">
        <f>+H183+SUM(H188:H191)</f>
        <v>10000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1852691.54</v>
      </c>
      <c r="G193" s="47">
        <f>G112+G140+G169+G192</f>
        <v>40463.589999999997</v>
      </c>
      <c r="H193" s="47">
        <f>H112+H140+H169+H192</f>
        <v>48344.05</v>
      </c>
      <c r="I193" s="47">
        <f>I112+I140+I169+I192</f>
        <v>0</v>
      </c>
      <c r="J193" s="47">
        <f>J112+J140+J192</f>
        <v>53814.71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312733.36</v>
      </c>
      <c r="G197" s="18">
        <v>122728.86</v>
      </c>
      <c r="H197" s="18">
        <v>15003.54</v>
      </c>
      <c r="I197" s="18">
        <v>8861.81</v>
      </c>
      <c r="J197" s="18">
        <v>12512.62</v>
      </c>
      <c r="K197" s="18"/>
      <c r="L197" s="19">
        <f>SUM(F197:K197)</f>
        <v>471840.18999999994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94291.17</v>
      </c>
      <c r="G198" s="18">
        <v>49797.3</v>
      </c>
      <c r="H198" s="18">
        <v>42888.38</v>
      </c>
      <c r="I198" s="18">
        <v>1021.13</v>
      </c>
      <c r="J198" s="18">
        <v>971.87</v>
      </c>
      <c r="K198" s="18"/>
      <c r="L198" s="19">
        <f>SUM(F198:K198)</f>
        <v>188969.85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180+634</f>
        <v>814</v>
      </c>
      <c r="G200" s="18">
        <f>34.92+50.37</f>
        <v>85.289999999999992</v>
      </c>
      <c r="H200" s="18"/>
      <c r="I200" s="18">
        <v>107.84</v>
      </c>
      <c r="J200" s="18"/>
      <c r="K200" s="18">
        <v>120</v>
      </c>
      <c r="L200" s="19">
        <f>SUM(F200:K200)</f>
        <v>1127.1300000000001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33470+31993.52+11794.7</f>
        <v>77258.22</v>
      </c>
      <c r="G202" s="18">
        <f>2684.25+2565.68+932.95</f>
        <v>6182.88</v>
      </c>
      <c r="H202" s="18">
        <f>615+4475.72+11133.99+21707.48+6878.74</f>
        <v>44810.93</v>
      </c>
      <c r="I202" s="18">
        <f>210.86+334.15+399.22+805.91</f>
        <v>1750.1399999999999</v>
      </c>
      <c r="J202" s="18">
        <v>273.06</v>
      </c>
      <c r="K202" s="18"/>
      <c r="L202" s="19">
        <f t="shared" ref="L202:L208" si="0">SUM(F202:K202)</f>
        <v>130275.23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2225+726.36</f>
        <v>2951.36</v>
      </c>
      <c r="G203" s="18">
        <f>437.13+2329.26</f>
        <v>2766.3900000000003</v>
      </c>
      <c r="H203" s="18">
        <f>3611.4+13320</f>
        <v>16931.400000000001</v>
      </c>
      <c r="I203" s="18">
        <f>80+3088.56</f>
        <v>3168.56</v>
      </c>
      <c r="J203" s="18"/>
      <c r="K203" s="18">
        <v>499</v>
      </c>
      <c r="L203" s="19">
        <f t="shared" si="0"/>
        <v>26316.710000000003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2242+2000</f>
        <v>4242</v>
      </c>
      <c r="G204" s="18">
        <f>175.04+160.4</f>
        <v>335.44</v>
      </c>
      <c r="H204" s="18">
        <f>133071+250+6746.5+7600+250+209.37</f>
        <v>148126.87</v>
      </c>
      <c r="I204" s="18">
        <v>725.71</v>
      </c>
      <c r="J204" s="18"/>
      <c r="K204" s="18">
        <v>264</v>
      </c>
      <c r="L204" s="19">
        <f t="shared" si="0"/>
        <v>153694.01999999999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105457.81</v>
      </c>
      <c r="G205" s="18">
        <v>53685.11</v>
      </c>
      <c r="H205" s="18">
        <v>8934.73</v>
      </c>
      <c r="I205" s="18">
        <f>1477.06+85.87</f>
        <v>1562.9299999999998</v>
      </c>
      <c r="J205" s="18"/>
      <c r="K205" s="18">
        <v>545</v>
      </c>
      <c r="L205" s="19">
        <f t="shared" si="0"/>
        <v>170185.58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45104.42</v>
      </c>
      <c r="G207" s="18">
        <v>24989.03</v>
      </c>
      <c r="H207" s="18">
        <v>51239.31</v>
      </c>
      <c r="I207" s="18">
        <v>32240.78</v>
      </c>
      <c r="J207" s="18">
        <v>6331.94</v>
      </c>
      <c r="K207" s="18"/>
      <c r="L207" s="19">
        <f t="shared" si="0"/>
        <v>159905.47999999998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50347+16781.2</f>
        <v>67128.2</v>
      </c>
      <c r="I208" s="18"/>
      <c r="J208" s="18"/>
      <c r="K208" s="18"/>
      <c r="L208" s="19">
        <f t="shared" si="0"/>
        <v>67128.2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1150</v>
      </c>
      <c r="I209" s="18"/>
      <c r="J209" s="18"/>
      <c r="K209" s="18"/>
      <c r="L209" s="19">
        <f>SUM(F209:K209)</f>
        <v>1150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642852.34</v>
      </c>
      <c r="G211" s="41">
        <f t="shared" si="1"/>
        <v>260570.30000000002</v>
      </c>
      <c r="H211" s="41">
        <f t="shared" si="1"/>
        <v>396213.36</v>
      </c>
      <c r="I211" s="41">
        <f t="shared" si="1"/>
        <v>49438.899999999994</v>
      </c>
      <c r="J211" s="41">
        <f t="shared" si="1"/>
        <v>20089.490000000002</v>
      </c>
      <c r="K211" s="41">
        <f t="shared" si="1"/>
        <v>1428</v>
      </c>
      <c r="L211" s="41">
        <f t="shared" si="1"/>
        <v>1370592.39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54567</v>
      </c>
      <c r="I215" s="18"/>
      <c r="J215" s="18"/>
      <c r="K215" s="18"/>
      <c r="L215" s="19">
        <f>SUM(F215:K215)</f>
        <v>54567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30697.200000000001</v>
      </c>
      <c r="I216" s="18"/>
      <c r="J216" s="18"/>
      <c r="K216" s="18"/>
      <c r="L216" s="19">
        <f>SUM(F216:K216)</f>
        <v>30697.200000000001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16782</v>
      </c>
      <c r="I226" s="18"/>
      <c r="J226" s="18"/>
      <c r="K226" s="18"/>
      <c r="L226" s="19">
        <f t="shared" si="2"/>
        <v>16782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102046.2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102046.2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211680.58</v>
      </c>
      <c r="I233" s="18"/>
      <c r="J233" s="18"/>
      <c r="K233" s="18"/>
      <c r="L233" s="19">
        <f>SUM(F233:K233)</f>
        <v>211680.58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104060.22</v>
      </c>
      <c r="I234" s="18"/>
      <c r="J234" s="18"/>
      <c r="K234" s="18"/>
      <c r="L234" s="19">
        <f>SUM(F234:K234)</f>
        <v>104060.22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16782</v>
      </c>
      <c r="I244" s="18"/>
      <c r="J244" s="18"/>
      <c r="K244" s="18"/>
      <c r="L244" s="19">
        <f t="shared" si="4"/>
        <v>16782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332522.8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332522.8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642852.34</v>
      </c>
      <c r="G257" s="41">
        <f t="shared" si="8"/>
        <v>260570.30000000002</v>
      </c>
      <c r="H257" s="41">
        <f t="shared" si="8"/>
        <v>830782.36</v>
      </c>
      <c r="I257" s="41">
        <f t="shared" si="8"/>
        <v>49438.899999999994</v>
      </c>
      <c r="J257" s="41">
        <f t="shared" si="8"/>
        <v>20089.490000000002</v>
      </c>
      <c r="K257" s="41">
        <f t="shared" si="8"/>
        <v>1428</v>
      </c>
      <c r="L257" s="41">
        <f t="shared" si="8"/>
        <v>1805161.39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20029.8</v>
      </c>
      <c r="L263" s="19">
        <f>SUM(F263:K263)</f>
        <v>20029.8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10000</v>
      </c>
      <c r="L264" s="19">
        <f t="shared" ref="L264:L270" si="9">SUM(F264:K264)</f>
        <v>10000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80029.8</v>
      </c>
      <c r="L270" s="41">
        <f t="shared" si="9"/>
        <v>80029.8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642852.34</v>
      </c>
      <c r="G271" s="42">
        <f t="shared" si="11"/>
        <v>260570.30000000002</v>
      </c>
      <c r="H271" s="42">
        <f t="shared" si="11"/>
        <v>830782.36</v>
      </c>
      <c r="I271" s="42">
        <f t="shared" si="11"/>
        <v>49438.899999999994</v>
      </c>
      <c r="J271" s="42">
        <f t="shared" si="11"/>
        <v>20089.490000000002</v>
      </c>
      <c r="K271" s="42">
        <f t="shared" si="11"/>
        <v>81457.8</v>
      </c>
      <c r="L271" s="42">
        <f t="shared" si="11"/>
        <v>1885191.19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1450.95</v>
      </c>
      <c r="G276" s="18">
        <f>111.03+6.76</f>
        <v>117.79</v>
      </c>
      <c r="H276" s="18"/>
      <c r="I276" s="18">
        <f>530.71+3123.98+19.95+240+201.56+970.83+236.68</f>
        <v>5323.71</v>
      </c>
      <c r="J276" s="18">
        <f>1.79+899.11+13.62+222.09+1243.68+351.32+79</f>
        <v>2810.61</v>
      </c>
      <c r="K276" s="18">
        <v>108</v>
      </c>
      <c r="L276" s="19">
        <f>SUM(F276:K276)</f>
        <v>9811.06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v>139.69999999999999</v>
      </c>
      <c r="J277" s="18"/>
      <c r="K277" s="18"/>
      <c r="L277" s="19">
        <f>SUM(F277:K277)</f>
        <v>139.69999999999999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f>202.01</f>
        <v>202.01</v>
      </c>
      <c r="J281" s="18">
        <f>1143.68+168.22</f>
        <v>1311.9</v>
      </c>
      <c r="K281" s="18"/>
      <c r="L281" s="19">
        <f t="shared" ref="L281:L287" si="12">SUM(F281:K281)</f>
        <v>1513.91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5326.64+37.5</f>
        <v>5364.14</v>
      </c>
      <c r="G282" s="18">
        <f>407.44+19.8+2.87+0.14</f>
        <v>430.25</v>
      </c>
      <c r="H282" s="18">
        <v>886.55</v>
      </c>
      <c r="I282" s="18"/>
      <c r="J282" s="18"/>
      <c r="K282" s="18"/>
      <c r="L282" s="19">
        <f t="shared" si="12"/>
        <v>6680.9400000000005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28000.04</v>
      </c>
      <c r="G283" s="18">
        <f>5254.85+349.3+96.18+97.4+2076.78+3428.19+103.62</f>
        <v>11406.320000000002</v>
      </c>
      <c r="H283" s="18">
        <v>59.06</v>
      </c>
      <c r="I283" s="18"/>
      <c r="J283" s="18"/>
      <c r="K283" s="18">
        <v>263</v>
      </c>
      <c r="L283" s="19">
        <f t="shared" si="12"/>
        <v>39728.42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f>245.07+362.49+2.22+55.85+90.94</f>
        <v>756.56999999999994</v>
      </c>
      <c r="L285" s="19">
        <f t="shared" si="12"/>
        <v>756.56999999999994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155</v>
      </c>
      <c r="I287" s="18"/>
      <c r="J287" s="18"/>
      <c r="K287" s="18"/>
      <c r="L287" s="19">
        <f t="shared" si="12"/>
        <v>155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34815.130000000005</v>
      </c>
      <c r="G290" s="42">
        <f t="shared" si="13"/>
        <v>11954.36</v>
      </c>
      <c r="H290" s="42">
        <f t="shared" si="13"/>
        <v>1100.6099999999999</v>
      </c>
      <c r="I290" s="42">
        <f t="shared" si="13"/>
        <v>5665.42</v>
      </c>
      <c r="J290" s="42">
        <f t="shared" si="13"/>
        <v>4122.51</v>
      </c>
      <c r="K290" s="42">
        <f t="shared" si="13"/>
        <v>1127.57</v>
      </c>
      <c r="L290" s="41">
        <f t="shared" si="13"/>
        <v>58785.599999999999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34815.130000000005</v>
      </c>
      <c r="G338" s="41">
        <f t="shared" si="20"/>
        <v>11954.36</v>
      </c>
      <c r="H338" s="41">
        <f t="shared" si="20"/>
        <v>1100.6099999999999</v>
      </c>
      <c r="I338" s="41">
        <f t="shared" si="20"/>
        <v>5665.42</v>
      </c>
      <c r="J338" s="41">
        <f t="shared" si="20"/>
        <v>4122.51</v>
      </c>
      <c r="K338" s="41">
        <f t="shared" si="20"/>
        <v>1127.57</v>
      </c>
      <c r="L338" s="41">
        <f t="shared" si="20"/>
        <v>58785.599999999999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34815.130000000005</v>
      </c>
      <c r="G352" s="41">
        <f>G338</f>
        <v>11954.36</v>
      </c>
      <c r="H352" s="41">
        <f>H338</f>
        <v>1100.6099999999999</v>
      </c>
      <c r="I352" s="41">
        <f>I338</f>
        <v>5665.42</v>
      </c>
      <c r="J352" s="41">
        <f>J338</f>
        <v>4122.51</v>
      </c>
      <c r="K352" s="47">
        <f>K338+K351</f>
        <v>1127.57</v>
      </c>
      <c r="L352" s="41">
        <f>L338+L351</f>
        <v>58785.599999999999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18260.55</v>
      </c>
      <c r="G358" s="18">
        <f>1396.94+618.79</f>
        <v>2015.73</v>
      </c>
      <c r="H358" s="18">
        <f>4825+1190.35+513.6</f>
        <v>6528.9500000000007</v>
      </c>
      <c r="I358" s="18">
        <f>447.46+12750.9+135</f>
        <v>13333.359999999999</v>
      </c>
      <c r="J358" s="18"/>
      <c r="K358" s="18">
        <v>325</v>
      </c>
      <c r="L358" s="13">
        <f>SUM(F358:K358)</f>
        <v>40463.589999999997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18260.55</v>
      </c>
      <c r="G362" s="47">
        <f t="shared" si="22"/>
        <v>2015.73</v>
      </c>
      <c r="H362" s="47">
        <f t="shared" si="22"/>
        <v>6528.9500000000007</v>
      </c>
      <c r="I362" s="47">
        <f t="shared" si="22"/>
        <v>13333.359999999999</v>
      </c>
      <c r="J362" s="47">
        <f t="shared" si="22"/>
        <v>0</v>
      </c>
      <c r="K362" s="47">
        <f t="shared" si="22"/>
        <v>325</v>
      </c>
      <c r="L362" s="47">
        <f t="shared" si="22"/>
        <v>40463.589999999997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12750.9+447.46+135</f>
        <v>13333.359999999999</v>
      </c>
      <c r="G367" s="18"/>
      <c r="H367" s="18"/>
      <c r="I367" s="56">
        <f>SUM(F367:H367)</f>
        <v>13333.359999999999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13333.359999999999</v>
      </c>
      <c r="G369" s="47">
        <f>SUM(G367:G368)</f>
        <v>0</v>
      </c>
      <c r="H369" s="47">
        <f>SUM(H367:H368)</f>
        <v>0</v>
      </c>
      <c r="I369" s="47">
        <f>SUM(I367:I368)</f>
        <v>13333.359999999999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25000</v>
      </c>
      <c r="H389" s="18">
        <v>1556.87</v>
      </c>
      <c r="I389" s="18"/>
      <c r="J389" s="24" t="s">
        <v>286</v>
      </c>
      <c r="K389" s="24" t="s">
        <v>286</v>
      </c>
      <c r="L389" s="56">
        <f t="shared" si="25"/>
        <v>26556.87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1556.87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26556.87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25000</v>
      </c>
      <c r="H398" s="18">
        <v>2257.84</v>
      </c>
      <c r="I398" s="18"/>
      <c r="J398" s="24" t="s">
        <v>286</v>
      </c>
      <c r="K398" s="24" t="s">
        <v>286</v>
      </c>
      <c r="L398" s="56">
        <f t="shared" si="26"/>
        <v>27257.84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2257.84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27257.84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3814.71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53814.71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>
        <v>66892.149999999994</v>
      </c>
      <c r="I415" s="18"/>
      <c r="J415" s="18"/>
      <c r="K415" s="18"/>
      <c r="L415" s="56">
        <f t="shared" si="27"/>
        <v>66892.149999999994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66892.149999999994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66892.149999999994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66892.149999999994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66892.149999999994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115126.56</v>
      </c>
      <c r="G440" s="18">
        <v>180334.29</v>
      </c>
      <c r="H440" s="18"/>
      <c r="I440" s="56">
        <f t="shared" si="33"/>
        <v>295460.84999999998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115126.56</v>
      </c>
      <c r="G446" s="13">
        <f>SUM(G439:G445)</f>
        <v>180334.29</v>
      </c>
      <c r="H446" s="13">
        <f>SUM(H439:H445)</f>
        <v>0</v>
      </c>
      <c r="I446" s="13">
        <f>SUM(I439:I445)</f>
        <v>295460.84999999998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115126.56</v>
      </c>
      <c r="G459" s="18">
        <v>180334.29</v>
      </c>
      <c r="H459" s="18"/>
      <c r="I459" s="56">
        <f t="shared" si="34"/>
        <v>295460.84999999998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115126.56</v>
      </c>
      <c r="G460" s="83">
        <f>SUM(G454:G459)</f>
        <v>180334.29</v>
      </c>
      <c r="H460" s="83">
        <f>SUM(H454:H459)</f>
        <v>0</v>
      </c>
      <c r="I460" s="83">
        <f>SUM(I454:I459)</f>
        <v>295460.84999999998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115126.56</v>
      </c>
      <c r="G461" s="42">
        <f>G452+G460</f>
        <v>180334.29</v>
      </c>
      <c r="H461" s="42">
        <f>H452+H460</f>
        <v>0</v>
      </c>
      <c r="I461" s="42">
        <f>I452+I460</f>
        <v>295460.84999999998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220691.74</v>
      </c>
      <c r="G465" s="18">
        <v>0</v>
      </c>
      <c r="H465" s="18">
        <v>51345.1</v>
      </c>
      <c r="I465" s="18">
        <v>0</v>
      </c>
      <c r="J465" s="18">
        <v>308538.28999999998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1852691.54</v>
      </c>
      <c r="G468" s="18">
        <v>40463.589999999997</v>
      </c>
      <c r="H468" s="18">
        <f>15737.37+32606.68</f>
        <v>48344.05</v>
      </c>
      <c r="I468" s="18">
        <v>0</v>
      </c>
      <c r="J468" s="18">
        <f>50000+1556.87+2257.84</f>
        <v>53814.710000000006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1852691.54</v>
      </c>
      <c r="G470" s="53">
        <f>SUM(G468:G469)</f>
        <v>40463.589999999997</v>
      </c>
      <c r="H470" s="53">
        <f>SUM(H468:H469)</f>
        <v>48344.05</v>
      </c>
      <c r="I470" s="53">
        <f>SUM(I468:I469)</f>
        <v>0</v>
      </c>
      <c r="J470" s="53">
        <f>SUM(J468:J469)</f>
        <v>53814.710000000006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1885191.19</v>
      </c>
      <c r="G472" s="18">
        <v>40463.589999999997</v>
      </c>
      <c r="H472" s="18">
        <v>58785.599999999999</v>
      </c>
      <c r="I472" s="18">
        <v>0</v>
      </c>
      <c r="J472" s="18">
        <v>66892.149999999994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1885191.19</v>
      </c>
      <c r="G474" s="53">
        <f>SUM(G472:G473)</f>
        <v>40463.589999999997</v>
      </c>
      <c r="H474" s="53">
        <f>SUM(H472:H473)</f>
        <v>58785.599999999999</v>
      </c>
      <c r="I474" s="53">
        <f>SUM(I472:I473)</f>
        <v>0</v>
      </c>
      <c r="J474" s="53">
        <f>SUM(J472:J473)</f>
        <v>66892.149999999994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188192.09000000008</v>
      </c>
      <c r="G476" s="53">
        <f>(G465+G470)- G474</f>
        <v>0</v>
      </c>
      <c r="H476" s="53">
        <f>(H465+H470)- H474</f>
        <v>40903.549999999996</v>
      </c>
      <c r="I476" s="53">
        <f>(I465+I470)- I474</f>
        <v>0</v>
      </c>
      <c r="J476" s="53">
        <f>(J465+J470)- J474</f>
        <v>295460.84999999998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46045.54+48245.63</f>
        <v>94291.17</v>
      </c>
      <c r="G521" s="18">
        <f>35566.2+1400+196.98+139.77+6692.3+5461.35+340.7</f>
        <v>49797.299999999996</v>
      </c>
      <c r="H521" s="18">
        <f>2656.12+54.46+40177.8</f>
        <v>42888.380000000005</v>
      </c>
      <c r="I521" s="18">
        <f>493.63+460.54+66.96+139.7</f>
        <v>1160.8300000000002</v>
      </c>
      <c r="J521" s="18">
        <v>971.87</v>
      </c>
      <c r="K521" s="18"/>
      <c r="L521" s="88">
        <f>SUM(F521:K521)</f>
        <v>189109.55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30697.200000000001</v>
      </c>
      <c r="I522" s="18"/>
      <c r="J522" s="18"/>
      <c r="K522" s="18"/>
      <c r="L522" s="88">
        <f>SUM(F522:K522)</f>
        <v>30697.200000000001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104060.22</v>
      </c>
      <c r="I523" s="18"/>
      <c r="J523" s="18"/>
      <c r="K523" s="18"/>
      <c r="L523" s="88">
        <f>SUM(F523:K523)</f>
        <v>104060.22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94291.17</v>
      </c>
      <c r="G524" s="108">
        <f t="shared" ref="G524:L524" si="36">SUM(G521:G523)</f>
        <v>49797.299999999996</v>
      </c>
      <c r="H524" s="108">
        <f t="shared" si="36"/>
        <v>177645.8</v>
      </c>
      <c r="I524" s="108">
        <f t="shared" si="36"/>
        <v>1160.8300000000002</v>
      </c>
      <c r="J524" s="108">
        <f t="shared" si="36"/>
        <v>971.87</v>
      </c>
      <c r="K524" s="108">
        <f>SUM(K521:K523)</f>
        <v>0</v>
      </c>
      <c r="L524" s="89">
        <f t="shared" si="36"/>
        <v>323866.96999999997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11794.7+37.5</f>
        <v>11832.2</v>
      </c>
      <c r="G526" s="18">
        <f>902.27+30.68+2.87+0.14</f>
        <v>935.95999999999992</v>
      </c>
      <c r="H526" s="18">
        <f>290+11028.06+105.93+21707.48+6878.74+886.55</f>
        <v>40896.76</v>
      </c>
      <c r="I526" s="18">
        <f>399.22+805.91+202.01</f>
        <v>1407.14</v>
      </c>
      <c r="J526" s="18">
        <f>273.06+1143.68+168.22</f>
        <v>1584.96</v>
      </c>
      <c r="K526" s="18"/>
      <c r="L526" s="88">
        <f>SUM(F526:K526)</f>
        <v>56657.02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11832.2</v>
      </c>
      <c r="G529" s="89">
        <f t="shared" ref="G529:L529" si="37">SUM(G526:G528)</f>
        <v>935.95999999999992</v>
      </c>
      <c r="H529" s="89">
        <f t="shared" si="37"/>
        <v>40896.76</v>
      </c>
      <c r="I529" s="89">
        <f t="shared" si="37"/>
        <v>1407.14</v>
      </c>
      <c r="J529" s="89">
        <f t="shared" si="37"/>
        <v>1584.96</v>
      </c>
      <c r="K529" s="89">
        <f t="shared" si="37"/>
        <v>0</v>
      </c>
      <c r="L529" s="89">
        <f t="shared" si="37"/>
        <v>56657.02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11611</v>
      </c>
      <c r="I531" s="18"/>
      <c r="J531" s="18"/>
      <c r="K531" s="18">
        <f>2.22+55.85+90.94</f>
        <v>149.01</v>
      </c>
      <c r="L531" s="88">
        <f>SUM(F531:K531)</f>
        <v>11760.01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11611</v>
      </c>
      <c r="I534" s="89">
        <f t="shared" si="38"/>
        <v>0</v>
      </c>
      <c r="J534" s="89">
        <f t="shared" si="38"/>
        <v>0</v>
      </c>
      <c r="K534" s="89">
        <f t="shared" si="38"/>
        <v>149.01</v>
      </c>
      <c r="L534" s="89">
        <f t="shared" si="38"/>
        <v>11760.01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106123.37</v>
      </c>
      <c r="G545" s="89">
        <f t="shared" ref="G545:L545" si="41">G524+G529+G534+G539+G544</f>
        <v>50733.259999999995</v>
      </c>
      <c r="H545" s="89">
        <f t="shared" si="41"/>
        <v>230153.56</v>
      </c>
      <c r="I545" s="89">
        <f t="shared" si="41"/>
        <v>2567.9700000000003</v>
      </c>
      <c r="J545" s="89">
        <f t="shared" si="41"/>
        <v>2556.83</v>
      </c>
      <c r="K545" s="89">
        <f t="shared" si="41"/>
        <v>149.01</v>
      </c>
      <c r="L545" s="89">
        <f t="shared" si="41"/>
        <v>392284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189109.55</v>
      </c>
      <c r="G549" s="87">
        <f>L526</f>
        <v>56657.02</v>
      </c>
      <c r="H549" s="87">
        <f>L531</f>
        <v>11760.01</v>
      </c>
      <c r="I549" s="87">
        <f>L536</f>
        <v>0</v>
      </c>
      <c r="J549" s="87">
        <f>L541</f>
        <v>0</v>
      </c>
      <c r="K549" s="87">
        <f>SUM(F549:J549)</f>
        <v>257526.58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30697.200000000001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30697.200000000001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104060.22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104060.22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323866.96999999997</v>
      </c>
      <c r="G552" s="89">
        <f t="shared" si="42"/>
        <v>56657.02</v>
      </c>
      <c r="H552" s="89">
        <f t="shared" si="42"/>
        <v>11760.01</v>
      </c>
      <c r="I552" s="89">
        <f t="shared" si="42"/>
        <v>0</v>
      </c>
      <c r="J552" s="89">
        <f t="shared" si="42"/>
        <v>0</v>
      </c>
      <c r="K552" s="89">
        <f t="shared" si="42"/>
        <v>392284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4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>SUM(K521:K559)</f>
        <v>785015.03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785015.03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54567</v>
      </c>
      <c r="H575" s="18">
        <v>211680.58</v>
      </c>
      <c r="I575" s="87">
        <f>SUM(F575:H575)</f>
        <v>266247.57999999996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40177.800000000003</v>
      </c>
      <c r="G579" s="18">
        <v>30697.200000000001</v>
      </c>
      <c r="H579" s="18">
        <v>104060.22</v>
      </c>
      <c r="I579" s="87">
        <f t="shared" si="47"/>
        <v>174935.22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50347</v>
      </c>
      <c r="I591" s="18">
        <v>16782</v>
      </c>
      <c r="J591" s="18">
        <v>16782</v>
      </c>
      <c r="K591" s="104">
        <f t="shared" ref="K591:K597" si="48">SUM(H591:J591)</f>
        <v>83911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16781.2</v>
      </c>
      <c r="I597" s="18"/>
      <c r="J597" s="18"/>
      <c r="K597" s="104">
        <f t="shared" si="48"/>
        <v>16781.2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67128.2</v>
      </c>
      <c r="I598" s="108">
        <f>SUM(I591:I597)</f>
        <v>16782</v>
      </c>
      <c r="J598" s="108">
        <f>SUM(J591:J597)</f>
        <v>16782</v>
      </c>
      <c r="K598" s="108">
        <f>SUM(K591:K597)</f>
        <v>100692.2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24212</v>
      </c>
      <c r="I604" s="18"/>
      <c r="J604" s="18"/>
      <c r="K604" s="104">
        <f>SUM(H604:J604)</f>
        <v>24212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24212</v>
      </c>
      <c r="I605" s="108">
        <f>SUM(I602:I604)</f>
        <v>0</v>
      </c>
      <c r="J605" s="108">
        <f>SUM(J602:J604)</f>
        <v>0</v>
      </c>
      <c r="K605" s="108">
        <f>SUM(K602:K604)</f>
        <v>24212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634</v>
      </c>
      <c r="G611" s="18">
        <f>48.51+1.86</f>
        <v>50.37</v>
      </c>
      <c r="H611" s="18"/>
      <c r="I611" s="18"/>
      <c r="J611" s="18"/>
      <c r="K611" s="18"/>
      <c r="L611" s="88">
        <f>SUM(F611:K611)</f>
        <v>684.37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634</v>
      </c>
      <c r="G614" s="108">
        <f t="shared" si="49"/>
        <v>50.37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684.37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226185.81000000003</v>
      </c>
      <c r="H617" s="109">
        <f>SUM(F52)</f>
        <v>226185.81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757.92</v>
      </c>
      <c r="H618" s="109">
        <f>SUM(G52)</f>
        <v>757.92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42519.229999999996</v>
      </c>
      <c r="H619" s="109">
        <f>SUM(H52)</f>
        <v>42519.229999999996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295460.84999999998</v>
      </c>
      <c r="H621" s="109">
        <f>SUM(J52)</f>
        <v>295460.84999999998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188192.09</v>
      </c>
      <c r="H622" s="109">
        <f>F476</f>
        <v>188192.09000000008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40903.549999999996</v>
      </c>
      <c r="H624" s="109">
        <f>H476</f>
        <v>40903.549999999996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295460.84999999998</v>
      </c>
      <c r="H626" s="109">
        <f>J476</f>
        <v>295460.84999999998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1852691.54</v>
      </c>
      <c r="H627" s="104">
        <f>SUM(F468)</f>
        <v>1852691.54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40463.589999999997</v>
      </c>
      <c r="H628" s="104">
        <f>SUM(G468)</f>
        <v>40463.589999999997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48344.05</v>
      </c>
      <c r="H629" s="104">
        <f>SUM(H468)</f>
        <v>48344.05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53814.71</v>
      </c>
      <c r="H631" s="104">
        <f>SUM(J468)</f>
        <v>53814.710000000006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1885191.19</v>
      </c>
      <c r="H632" s="104">
        <f>SUM(F472)</f>
        <v>1885191.19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58785.599999999999</v>
      </c>
      <c r="H633" s="104">
        <f>SUM(H472)</f>
        <v>58785.599999999999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13333.359999999999</v>
      </c>
      <c r="H634" s="104">
        <f>I369</f>
        <v>13333.359999999999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40463.589999999997</v>
      </c>
      <c r="H635" s="104">
        <f>SUM(G472)</f>
        <v>40463.589999999997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53814.71</v>
      </c>
      <c r="H637" s="164">
        <f>SUM(J468)</f>
        <v>53814.710000000006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66892.149999999994</v>
      </c>
      <c r="H638" s="164">
        <f>SUM(J472)</f>
        <v>66892.149999999994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115126.56</v>
      </c>
      <c r="H639" s="104">
        <f>SUM(F461)</f>
        <v>115126.56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180334.29</v>
      </c>
      <c r="H640" s="104">
        <f>SUM(G461)</f>
        <v>180334.29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295460.84999999998</v>
      </c>
      <c r="H642" s="104">
        <f>SUM(I461)</f>
        <v>295460.84999999998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3814.71</v>
      </c>
      <c r="H644" s="104">
        <f>H408</f>
        <v>3814.71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53814.71</v>
      </c>
      <c r="H646" s="104">
        <f>L408</f>
        <v>53814.71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100692.2</v>
      </c>
      <c r="H647" s="104">
        <f>L208+L226+L244</f>
        <v>100692.2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24212</v>
      </c>
      <c r="H648" s="104">
        <f>(J257+J338)-(J255+J336)</f>
        <v>24212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67128.2</v>
      </c>
      <c r="H649" s="104">
        <f>H598</f>
        <v>67128.2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16782</v>
      </c>
      <c r="H650" s="104">
        <f>I598</f>
        <v>16782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16782</v>
      </c>
      <c r="H651" s="104">
        <f>J598</f>
        <v>16782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20029.8</v>
      </c>
      <c r="H652" s="104">
        <f>K263+K345</f>
        <v>20029.8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10000</v>
      </c>
      <c r="H653" s="104">
        <f>K264</f>
        <v>10000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1469841.58</v>
      </c>
      <c r="G660" s="19">
        <f>(L229+L309+L359)</f>
        <v>102046.2</v>
      </c>
      <c r="H660" s="19">
        <f>(L247+L328+L360)</f>
        <v>332522.8</v>
      </c>
      <c r="I660" s="19">
        <f>SUM(F660:H660)</f>
        <v>1904410.58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11862.05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11862.05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67283.199999999997</v>
      </c>
      <c r="G662" s="19">
        <f>(L226+L306)-(J226+J306)</f>
        <v>16782</v>
      </c>
      <c r="H662" s="19">
        <f>(L244+L325)-(J244+J325)</f>
        <v>16782</v>
      </c>
      <c r="I662" s="19">
        <f>SUM(F662:H662)</f>
        <v>100847.2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65074.170000000006</v>
      </c>
      <c r="G663" s="199">
        <f>SUM(G575:G587)+SUM(I602:I604)+L612</f>
        <v>85264.2</v>
      </c>
      <c r="H663" s="199">
        <f>SUM(H575:H587)+SUM(J602:J604)+L613</f>
        <v>315740.79999999999</v>
      </c>
      <c r="I663" s="19">
        <f>SUM(F663:H663)</f>
        <v>466079.17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1325622.1600000001</v>
      </c>
      <c r="G664" s="19">
        <f>G660-SUM(G661:G663)</f>
        <v>0</v>
      </c>
      <c r="H664" s="19">
        <f>H660-SUM(H661:H663)</f>
        <v>0</v>
      </c>
      <c r="I664" s="19">
        <f>I660-SUM(I661:I663)</f>
        <v>1325622.1600000001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51.21</v>
      </c>
      <c r="G665" s="248"/>
      <c r="H665" s="248"/>
      <c r="I665" s="19">
        <f>SUM(F665:H665)</f>
        <v>51.21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25886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25886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25886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25886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8" sqref="C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Harrisville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314184.31</v>
      </c>
      <c r="C9" s="229">
        <f>'DOE25'!G197+'DOE25'!G215+'DOE25'!G233+'DOE25'!G276+'DOE25'!G295+'DOE25'!G314</f>
        <v>122846.65</v>
      </c>
    </row>
    <row r="10" spans="1:3" x14ac:dyDescent="0.2">
      <c r="A10" t="s">
        <v>773</v>
      </c>
      <c r="B10" s="240">
        <v>307285.71000000002</v>
      </c>
      <c r="C10" s="240">
        <v>122728.86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v>5447.65</v>
      </c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312733.36000000004</v>
      </c>
      <c r="C13" s="231">
        <f>SUM(C10:C12)</f>
        <v>122728.86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94291.17</v>
      </c>
      <c r="C18" s="229">
        <f>'DOE25'!G198+'DOE25'!G216+'DOE25'!G234+'DOE25'!G277+'DOE25'!G296+'DOE25'!G315</f>
        <v>49797.3</v>
      </c>
    </row>
    <row r="19" spans="1:3" x14ac:dyDescent="0.2">
      <c r="A19" t="s">
        <v>773</v>
      </c>
      <c r="B19" s="240">
        <v>46045.54</v>
      </c>
      <c r="C19" s="240">
        <v>24317.69</v>
      </c>
    </row>
    <row r="20" spans="1:3" x14ac:dyDescent="0.2">
      <c r="A20" t="s">
        <v>774</v>
      </c>
      <c r="B20" s="240">
        <v>48245.63</v>
      </c>
      <c r="C20" s="240">
        <v>25479.61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94291.17</v>
      </c>
      <c r="C22" s="231">
        <f>SUM(C19:C21)</f>
        <v>49797.3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814</v>
      </c>
      <c r="C36" s="235">
        <f>'DOE25'!G200+'DOE25'!G218+'DOE25'!G236+'DOE25'!G279+'DOE25'!G298+'DOE25'!G317</f>
        <v>85.289999999999992</v>
      </c>
    </row>
    <row r="37" spans="1:3" x14ac:dyDescent="0.2">
      <c r="A37" t="s">
        <v>773</v>
      </c>
      <c r="B37" s="240">
        <v>814</v>
      </c>
      <c r="C37" s="240">
        <v>85.29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814</v>
      </c>
      <c r="C40" s="231">
        <f>SUM(C37:C39)</f>
        <v>85.29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Harrisville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1062942.17</v>
      </c>
      <c r="D5" s="20">
        <f>SUM('DOE25'!L197:L200)+SUM('DOE25'!L215:L218)+SUM('DOE25'!L233:L236)-F5-G5</f>
        <v>1049337.68</v>
      </c>
      <c r="E5" s="243"/>
      <c r="F5" s="255">
        <f>SUM('DOE25'!J197:J200)+SUM('DOE25'!J215:J218)+SUM('DOE25'!J233:J236)</f>
        <v>13484.490000000002</v>
      </c>
      <c r="G5" s="53">
        <f>SUM('DOE25'!K197:K200)+SUM('DOE25'!K215:K218)+SUM('DOE25'!K233:K236)</f>
        <v>120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130275.23</v>
      </c>
      <c r="D6" s="20">
        <f>'DOE25'!L202+'DOE25'!L220+'DOE25'!L238-F6-G6</f>
        <v>130002.17</v>
      </c>
      <c r="E6" s="243"/>
      <c r="F6" s="255">
        <f>'DOE25'!J202+'DOE25'!J220+'DOE25'!J238</f>
        <v>273.06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26316.710000000003</v>
      </c>
      <c r="D7" s="20">
        <f>'DOE25'!L203+'DOE25'!L221+'DOE25'!L239-F7-G7</f>
        <v>25817.710000000003</v>
      </c>
      <c r="E7" s="243"/>
      <c r="F7" s="255">
        <f>'DOE25'!J203+'DOE25'!J221+'DOE25'!J239</f>
        <v>0</v>
      </c>
      <c r="G7" s="53">
        <f>'DOE25'!K203+'DOE25'!K221+'DOE25'!K239</f>
        <v>499</v>
      </c>
      <c r="H7" s="259"/>
    </row>
    <row r="8" spans="1:9" x14ac:dyDescent="0.2">
      <c r="A8" s="32">
        <v>2300</v>
      </c>
      <c r="B8" t="s">
        <v>796</v>
      </c>
      <c r="C8" s="245">
        <f t="shared" si="0"/>
        <v>119282</v>
      </c>
      <c r="D8" s="243"/>
      <c r="E8" s="20">
        <f>'DOE25'!L204+'DOE25'!L222+'DOE25'!L240-F8-G8-D9-D11</f>
        <v>119018</v>
      </c>
      <c r="F8" s="255">
        <f>'DOE25'!J204+'DOE25'!J222+'DOE25'!J240</f>
        <v>0</v>
      </c>
      <c r="G8" s="53">
        <f>'DOE25'!K204+'DOE25'!K222+'DOE25'!K240</f>
        <v>264</v>
      </c>
      <c r="H8" s="259"/>
    </row>
    <row r="9" spans="1:9" x14ac:dyDescent="0.2">
      <c r="A9" s="32">
        <v>2310</v>
      </c>
      <c r="B9" t="s">
        <v>812</v>
      </c>
      <c r="C9" s="245">
        <f t="shared" si="0"/>
        <v>12773.02</v>
      </c>
      <c r="D9" s="244">
        <v>12773.02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7600</v>
      </c>
      <c r="D10" s="243"/>
      <c r="E10" s="244">
        <v>7600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21639</v>
      </c>
      <c r="D11" s="244">
        <v>21639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170185.58</v>
      </c>
      <c r="D12" s="20">
        <f>'DOE25'!L205+'DOE25'!L223+'DOE25'!L241-F12-G12</f>
        <v>169640.58</v>
      </c>
      <c r="E12" s="243"/>
      <c r="F12" s="255">
        <f>'DOE25'!J205+'DOE25'!J223+'DOE25'!J241</f>
        <v>0</v>
      </c>
      <c r="G12" s="53">
        <f>'DOE25'!K205+'DOE25'!K223+'DOE25'!K241</f>
        <v>545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159905.47999999998</v>
      </c>
      <c r="D14" s="20">
        <f>'DOE25'!L207+'DOE25'!L225+'DOE25'!L243-F14-G14</f>
        <v>153573.53999999998</v>
      </c>
      <c r="E14" s="243"/>
      <c r="F14" s="255">
        <f>'DOE25'!J207+'DOE25'!J225+'DOE25'!J243</f>
        <v>6331.94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100692.2</v>
      </c>
      <c r="D15" s="20">
        <f>'DOE25'!L208+'DOE25'!L226+'DOE25'!L244-F15-G15</f>
        <v>100692.2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1150</v>
      </c>
      <c r="D16" s="243"/>
      <c r="E16" s="20">
        <f>'DOE25'!L209+'DOE25'!L227+'DOE25'!L245-F16-G16</f>
        <v>1150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27130.229999999996</v>
      </c>
      <c r="D29" s="20">
        <f>'DOE25'!L358+'DOE25'!L359+'DOE25'!L360-'DOE25'!I367-F29-G29</f>
        <v>26805.229999999996</v>
      </c>
      <c r="E29" s="243"/>
      <c r="F29" s="255">
        <f>'DOE25'!J358+'DOE25'!J359+'DOE25'!J360</f>
        <v>0</v>
      </c>
      <c r="G29" s="53">
        <f>'DOE25'!K358+'DOE25'!K359+'DOE25'!K360</f>
        <v>325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58785.599999999999</v>
      </c>
      <c r="D31" s="20">
        <f>'DOE25'!L290+'DOE25'!L309+'DOE25'!L328+'DOE25'!L333+'DOE25'!L334+'DOE25'!L335-F31-G31</f>
        <v>53535.519999999997</v>
      </c>
      <c r="E31" s="243"/>
      <c r="F31" s="255">
        <f>'DOE25'!J290+'DOE25'!J309+'DOE25'!J328+'DOE25'!J333+'DOE25'!J334+'DOE25'!J335</f>
        <v>4122.51</v>
      </c>
      <c r="G31" s="53">
        <f>'DOE25'!K290+'DOE25'!K309+'DOE25'!K328+'DOE25'!K333+'DOE25'!K334+'DOE25'!K335</f>
        <v>1127.57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1743816.65</v>
      </c>
      <c r="E33" s="246">
        <f>SUM(E5:E31)</f>
        <v>127768</v>
      </c>
      <c r="F33" s="246">
        <f>SUM(F5:F31)</f>
        <v>24212</v>
      </c>
      <c r="G33" s="246">
        <f>SUM(G5:G31)</f>
        <v>2880.5699999999997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127768</v>
      </c>
      <c r="E35" s="249"/>
    </row>
    <row r="36" spans="2:8" ht="12" thickTop="1" x14ac:dyDescent="0.2">
      <c r="B36" t="s">
        <v>809</v>
      </c>
      <c r="D36" s="20">
        <f>D33</f>
        <v>1743816.65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Harrisville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-30700.91</v>
      </c>
      <c r="D8" s="95">
        <f>'DOE25'!G9</f>
        <v>0</v>
      </c>
      <c r="E8" s="95">
        <f>'DOE25'!H9</f>
        <v>40563.46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242640.76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295460.84999999998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1623.73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12622.23</v>
      </c>
      <c r="D12" s="95">
        <f>'DOE25'!G13</f>
        <v>740.12</v>
      </c>
      <c r="E12" s="95">
        <f>'DOE25'!H13</f>
        <v>1581.77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17.8</v>
      </c>
      <c r="E13" s="95">
        <f>'DOE25'!H14</f>
        <v>374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226185.81000000003</v>
      </c>
      <c r="D18" s="41">
        <f>SUM(D8:D17)</f>
        <v>757.92</v>
      </c>
      <c r="E18" s="41">
        <f>SUM(E8:E17)</f>
        <v>42519.229999999996</v>
      </c>
      <c r="F18" s="41">
        <f>SUM(F8:F17)</f>
        <v>0</v>
      </c>
      <c r="G18" s="41">
        <f>SUM(G8:G17)</f>
        <v>295460.84999999998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275.52</v>
      </c>
      <c r="E21" s="95">
        <f>'DOE25'!H22</f>
        <v>1348.21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385.87</v>
      </c>
      <c r="D22" s="95">
        <f>'DOE25'!G23</f>
        <v>482.4</v>
      </c>
      <c r="E22" s="95">
        <f>'DOE25'!H23</f>
        <v>233.56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25848.880000000001</v>
      </c>
      <c r="D23" s="95">
        <f>'DOE25'!G24</f>
        <v>0</v>
      </c>
      <c r="E23" s="95">
        <f>'DOE25'!H24</f>
        <v>33.909999999999997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11758.97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37993.72</v>
      </c>
      <c r="D31" s="41">
        <f>SUM(D21:D30)</f>
        <v>757.92</v>
      </c>
      <c r="E31" s="41">
        <f>SUM(E21:E30)</f>
        <v>1615.68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18.88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4031.43</v>
      </c>
      <c r="D44" s="95">
        <f>'DOE25'!G45</f>
        <v>0</v>
      </c>
      <c r="E44" s="95">
        <f>'DOE25'!H45</f>
        <v>40884.67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295460.84999999998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84160.66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188192.09</v>
      </c>
      <c r="D50" s="41">
        <f>SUM(D34:D49)</f>
        <v>0</v>
      </c>
      <c r="E50" s="41">
        <f>SUM(E34:E49)</f>
        <v>40903.549999999996</v>
      </c>
      <c r="F50" s="41">
        <f>SUM(F34:F49)</f>
        <v>0</v>
      </c>
      <c r="G50" s="41">
        <f>SUM(G34:G49)</f>
        <v>295460.84999999998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226185.81</v>
      </c>
      <c r="D51" s="41">
        <f>D50+D31</f>
        <v>757.92</v>
      </c>
      <c r="E51" s="41">
        <f>E50+E31</f>
        <v>42519.229999999996</v>
      </c>
      <c r="F51" s="41">
        <f>F50+F31</f>
        <v>0</v>
      </c>
      <c r="G51" s="41">
        <f>G50+G31</f>
        <v>295460.84999999998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1372685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11930</v>
      </c>
      <c r="D57" s="24" t="s">
        <v>286</v>
      </c>
      <c r="E57" s="95">
        <f>'DOE25'!H79</f>
        <v>18678.650000000001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3154.01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3814.71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11862.05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18791.79</v>
      </c>
      <c r="D61" s="95">
        <f>SUM('DOE25'!G98:G110)</f>
        <v>0</v>
      </c>
      <c r="E61" s="95">
        <f>SUM('DOE25'!H98:H110)</f>
        <v>3928.0299999999997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33875.800000000003</v>
      </c>
      <c r="D62" s="130">
        <f>SUM(D57:D61)</f>
        <v>11862.05</v>
      </c>
      <c r="E62" s="130">
        <f>SUM(E57:E61)</f>
        <v>22606.68</v>
      </c>
      <c r="F62" s="130">
        <f>SUM(F57:F61)</f>
        <v>0</v>
      </c>
      <c r="G62" s="130">
        <f>SUM(G57:G61)</f>
        <v>3814.71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1406560.8</v>
      </c>
      <c r="D63" s="22">
        <f>D56+D62</f>
        <v>11862.05</v>
      </c>
      <c r="E63" s="22">
        <f>E56+E62</f>
        <v>22606.68</v>
      </c>
      <c r="F63" s="22">
        <f>F56+F62</f>
        <v>0</v>
      </c>
      <c r="G63" s="22">
        <f>G56+G62</f>
        <v>3814.71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435025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996.25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436021.25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272.11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272.11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436021.25</v>
      </c>
      <c r="D81" s="130">
        <f>SUM(D79:D80)+D78+D70</f>
        <v>272.11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366.73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10109.49</v>
      </c>
      <c r="D88" s="95">
        <f>SUM('DOE25'!G153:G161)</f>
        <v>8299.6299999999992</v>
      </c>
      <c r="E88" s="95">
        <f>SUM('DOE25'!H153:H161)</f>
        <v>15370.64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10109.49</v>
      </c>
      <c r="D91" s="131">
        <f>SUM(D85:D90)</f>
        <v>8299.6299999999992</v>
      </c>
      <c r="E91" s="131">
        <f>SUM(E85:E90)</f>
        <v>15737.369999999999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20029.8</v>
      </c>
      <c r="E96" s="95">
        <f>'DOE25'!H179</f>
        <v>10000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20029.8</v>
      </c>
      <c r="E103" s="86">
        <f>SUM(E93:E102)</f>
        <v>10000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1852691.54</v>
      </c>
      <c r="D104" s="86">
        <f>D63+D81+D91+D103</f>
        <v>40463.589999999997</v>
      </c>
      <c r="E104" s="86">
        <f>E63+E81+E91+E103</f>
        <v>48344.05</v>
      </c>
      <c r="F104" s="86">
        <f>F63+F81+F91+F103</f>
        <v>0</v>
      </c>
      <c r="G104" s="86">
        <f>G63+G81+G103</f>
        <v>53814.71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738087.7699999999</v>
      </c>
      <c r="D109" s="24" t="s">
        <v>286</v>
      </c>
      <c r="E109" s="95">
        <f>('DOE25'!L276)+('DOE25'!L295)+('DOE25'!L314)</f>
        <v>9811.06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323727.27</v>
      </c>
      <c r="D110" s="24" t="s">
        <v>286</v>
      </c>
      <c r="E110" s="95">
        <f>('DOE25'!L277)+('DOE25'!L296)+('DOE25'!L315)</f>
        <v>139.69999999999999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1127.1300000000001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1062942.17</v>
      </c>
      <c r="D115" s="86">
        <f>SUM(D109:D114)</f>
        <v>0</v>
      </c>
      <c r="E115" s="86">
        <f>SUM(E109:E114)</f>
        <v>9950.76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130275.23</v>
      </c>
      <c r="D118" s="24" t="s">
        <v>286</v>
      </c>
      <c r="E118" s="95">
        <f>+('DOE25'!L281)+('DOE25'!L300)+('DOE25'!L319)</f>
        <v>1513.91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26316.710000000003</v>
      </c>
      <c r="D119" s="24" t="s">
        <v>286</v>
      </c>
      <c r="E119" s="95">
        <f>+('DOE25'!L282)+('DOE25'!L301)+('DOE25'!L320)</f>
        <v>6680.9400000000005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153694.01999999999</v>
      </c>
      <c r="D120" s="24" t="s">
        <v>286</v>
      </c>
      <c r="E120" s="95">
        <f>+('DOE25'!L283)+('DOE25'!L302)+('DOE25'!L321)</f>
        <v>39728.42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170185.58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756.56999999999994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159905.47999999998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100692.2</v>
      </c>
      <c r="D124" s="24" t="s">
        <v>286</v>
      </c>
      <c r="E124" s="95">
        <f>+('DOE25'!L287)+('DOE25'!L306)+('DOE25'!L325)</f>
        <v>155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1150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40463.589999999997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742219.21999999986</v>
      </c>
      <c r="D128" s="86">
        <f>SUM(D118:D127)</f>
        <v>40463.589999999997</v>
      </c>
      <c r="E128" s="86">
        <f>SUM(E118:E127)</f>
        <v>48834.84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20029.8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10000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26556.87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27257.84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-3814.7099999999991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80029.799999999988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1885191.1899999997</v>
      </c>
      <c r="D145" s="86">
        <f>(D115+D128+D144)</f>
        <v>40463.589999999997</v>
      </c>
      <c r="E145" s="86">
        <f>(E115+E128+E144)</f>
        <v>58785.599999999999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Harrisville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25886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25886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747899</v>
      </c>
      <c r="D10" s="182">
        <f>ROUND((C10/$C$28)*100,1)</f>
        <v>39.5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323867</v>
      </c>
      <c r="D11" s="182">
        <f>ROUND((C11/$C$28)*100,1)</f>
        <v>17.100000000000001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1127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131789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32998</v>
      </c>
      <c r="D16" s="182">
        <f t="shared" si="0"/>
        <v>1.7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194572</v>
      </c>
      <c r="D17" s="182">
        <f t="shared" si="0"/>
        <v>10.3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170186</v>
      </c>
      <c r="D18" s="182">
        <f t="shared" si="0"/>
        <v>9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757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159905</v>
      </c>
      <c r="D20" s="182">
        <f t="shared" si="0"/>
        <v>8.4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100847</v>
      </c>
      <c r="D21" s="182">
        <f t="shared" si="0"/>
        <v>5.3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28601.95</v>
      </c>
      <c r="D27" s="182">
        <f t="shared" si="0"/>
        <v>1.5</v>
      </c>
    </row>
    <row r="28" spans="1:4" x14ac:dyDescent="0.2">
      <c r="B28" s="187" t="s">
        <v>717</v>
      </c>
      <c r="C28" s="180">
        <f>SUM(C10:C27)</f>
        <v>1892548.95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1892548.95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1372685</v>
      </c>
      <c r="D35" s="182">
        <f t="shared" ref="D35:D40" si="1">ROUND((C35/$C$41)*100,1)</f>
        <v>72.099999999999994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60297.189999999944</v>
      </c>
      <c r="D36" s="182">
        <f t="shared" si="1"/>
        <v>3.2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435025</v>
      </c>
      <c r="D37" s="182">
        <f t="shared" si="1"/>
        <v>22.9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1268</v>
      </c>
      <c r="D38" s="182">
        <f t="shared" si="1"/>
        <v>0.1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34146</v>
      </c>
      <c r="D39" s="182">
        <f t="shared" si="1"/>
        <v>1.8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1903421.19</v>
      </c>
      <c r="D41" s="184">
        <f>SUM(D35:D40)</f>
        <v>100.09999999999998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Harrisville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2018-08-31T11:44:05Z</cp:lastPrinted>
  <dcterms:created xsi:type="dcterms:W3CDTF">1997-12-04T19:04:30Z</dcterms:created>
  <dcterms:modified xsi:type="dcterms:W3CDTF">2018-11-13T19:49:46Z</dcterms:modified>
</cp:coreProperties>
</file>