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7" i="1" l="1"/>
  <c r="I597" i="1"/>
  <c r="K207" i="1"/>
  <c r="K208" i="1"/>
  <c r="H595" i="1"/>
  <c r="K197" i="1"/>
  <c r="J197" i="1"/>
  <c r="H314" i="1"/>
  <c r="H472" i="1"/>
  <c r="H13" i="1"/>
  <c r="H22" i="1"/>
  <c r="I604" i="1"/>
  <c r="F562" i="1"/>
  <c r="F541" i="1"/>
  <c r="H543" i="1"/>
  <c r="H542" i="1"/>
  <c r="H541" i="1"/>
  <c r="H527" i="1"/>
  <c r="F521" i="1"/>
  <c r="H523" i="1"/>
  <c r="H522" i="1"/>
  <c r="H521" i="1"/>
  <c r="I495" i="1"/>
  <c r="H495" i="1"/>
  <c r="G495" i="1"/>
  <c r="F495" i="1"/>
  <c r="I468" i="1" l="1"/>
  <c r="G459" i="1"/>
  <c r="G359" i="1"/>
  <c r="H360" i="1"/>
  <c r="H359" i="1"/>
  <c r="H358" i="1"/>
  <c r="K319" i="1"/>
  <c r="H320" i="1"/>
  <c r="I282" i="1"/>
  <c r="H282" i="1"/>
  <c r="G282" i="1"/>
  <c r="F282" i="1"/>
  <c r="G250" i="1"/>
  <c r="F253" i="1"/>
  <c r="F202" i="1"/>
  <c r="F198" i="1"/>
  <c r="F197" i="1"/>
  <c r="H244" i="1"/>
  <c r="H243" i="1"/>
  <c r="H241" i="1"/>
  <c r="H240" i="1"/>
  <c r="H239" i="1"/>
  <c r="H238" i="1"/>
  <c r="H236" i="1"/>
  <c r="H235" i="1"/>
  <c r="H234" i="1"/>
  <c r="H233" i="1"/>
  <c r="H226" i="1"/>
  <c r="I225" i="1"/>
  <c r="H225" i="1"/>
  <c r="H223" i="1"/>
  <c r="H222" i="1"/>
  <c r="H221" i="1"/>
  <c r="H220" i="1"/>
  <c r="H218" i="1"/>
  <c r="H216" i="1"/>
  <c r="H215" i="1"/>
  <c r="H208" i="1"/>
  <c r="H207" i="1"/>
  <c r="H205" i="1"/>
  <c r="H204" i="1"/>
  <c r="H203" i="1"/>
  <c r="H202" i="1"/>
  <c r="H198" i="1"/>
  <c r="H197" i="1"/>
  <c r="H155" i="1"/>
  <c r="G110" i="1"/>
  <c r="G158" i="1"/>
  <c r="G132" i="1"/>
  <c r="G97" i="1"/>
  <c r="F96" i="1"/>
  <c r="H48" i="1"/>
  <c r="I41" i="1"/>
  <c r="H24" i="1"/>
  <c r="F9" i="1"/>
  <c r="F50" i="1"/>
  <c r="F29" i="1" l="1"/>
  <c r="F2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E124" i="2" s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C11" i="10"/>
  <c r="L250" i="1"/>
  <c r="C113" i="2" s="1"/>
  <c r="L332" i="1"/>
  <c r="L254" i="1"/>
  <c r="L268" i="1"/>
  <c r="C142" i="2" s="1"/>
  <c r="L269" i="1"/>
  <c r="C143" i="2" s="1"/>
  <c r="L349" i="1"/>
  <c r="E142" i="2" s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E113" i="2"/>
  <c r="D115" i="2"/>
  <c r="F115" i="2"/>
  <c r="G115" i="2"/>
  <c r="E119" i="2"/>
  <c r="E120" i="2"/>
  <c r="E123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1" i="1"/>
  <c r="J641" i="1" s="1"/>
  <c r="H641" i="1"/>
  <c r="G643" i="1"/>
  <c r="H643" i="1"/>
  <c r="G644" i="1"/>
  <c r="J644" i="1" s="1"/>
  <c r="G645" i="1"/>
  <c r="H645" i="1"/>
  <c r="G650" i="1"/>
  <c r="G651" i="1"/>
  <c r="G652" i="1"/>
  <c r="H652" i="1"/>
  <c r="G653" i="1"/>
  <c r="H653" i="1"/>
  <c r="G654" i="1"/>
  <c r="H654" i="1"/>
  <c r="H655" i="1"/>
  <c r="F192" i="1"/>
  <c r="C26" i="10"/>
  <c r="C91" i="2"/>
  <c r="D50" i="2"/>
  <c r="G161" i="2"/>
  <c r="G62" i="2"/>
  <c r="E78" i="2"/>
  <c r="E81" i="2" s="1"/>
  <c r="H112" i="1"/>
  <c r="J571" i="1"/>
  <c r="L419" i="1"/>
  <c r="D81" i="2"/>
  <c r="I169" i="1"/>
  <c r="F476" i="1"/>
  <c r="H622" i="1" s="1"/>
  <c r="G338" i="1"/>
  <c r="G352" i="1" s="1"/>
  <c r="J140" i="1"/>
  <c r="G22" i="2"/>
  <c r="H552" i="1"/>
  <c r="H140" i="1"/>
  <c r="F22" i="13"/>
  <c r="C22" i="13" s="1"/>
  <c r="J634" i="1"/>
  <c r="H571" i="1"/>
  <c r="F338" i="1"/>
  <c r="F352" i="1" s="1"/>
  <c r="H192" i="1"/>
  <c r="L570" i="1"/>
  <c r="I571" i="1"/>
  <c r="G36" i="2"/>
  <c r="J651" i="1" l="1"/>
  <c r="L565" i="1"/>
  <c r="J552" i="1"/>
  <c r="K550" i="1"/>
  <c r="K551" i="1"/>
  <c r="H545" i="1"/>
  <c r="F552" i="1"/>
  <c r="G156" i="2"/>
  <c r="G157" i="2"/>
  <c r="G476" i="1"/>
  <c r="H623" i="1" s="1"/>
  <c r="I476" i="1"/>
  <c r="H625" i="1" s="1"/>
  <c r="J640" i="1"/>
  <c r="L401" i="1"/>
  <c r="C139" i="2" s="1"/>
  <c r="G661" i="1"/>
  <c r="D29" i="13"/>
  <c r="C29" i="13" s="1"/>
  <c r="L362" i="1"/>
  <c r="C27" i="10" s="1"/>
  <c r="K338" i="1"/>
  <c r="L328" i="1"/>
  <c r="E121" i="2"/>
  <c r="E112" i="2"/>
  <c r="H25" i="13"/>
  <c r="C25" i="13" s="1"/>
  <c r="C32" i="10"/>
  <c r="I257" i="1"/>
  <c r="I271" i="1" s="1"/>
  <c r="C125" i="2"/>
  <c r="D12" i="13"/>
  <c r="C12" i="13" s="1"/>
  <c r="E8" i="13"/>
  <c r="C8" i="13" s="1"/>
  <c r="C16" i="10"/>
  <c r="A40" i="12"/>
  <c r="C112" i="2"/>
  <c r="F257" i="1"/>
  <c r="F271" i="1" s="1"/>
  <c r="H257" i="1"/>
  <c r="H271" i="1" s="1"/>
  <c r="G257" i="1"/>
  <c r="G271" i="1" s="1"/>
  <c r="E16" i="13"/>
  <c r="C20" i="10"/>
  <c r="C121" i="2"/>
  <c r="C119" i="2"/>
  <c r="D7" i="13"/>
  <c r="C7" i="13" s="1"/>
  <c r="D5" i="13"/>
  <c r="C5" i="13" s="1"/>
  <c r="K257" i="1"/>
  <c r="K271" i="1" s="1"/>
  <c r="E62" i="2"/>
  <c r="E63" i="2" s="1"/>
  <c r="C70" i="2"/>
  <c r="F18" i="2"/>
  <c r="J624" i="1"/>
  <c r="E31" i="2"/>
  <c r="H52" i="1"/>
  <c r="H619" i="1" s="1"/>
  <c r="J619" i="1" s="1"/>
  <c r="D31" i="2"/>
  <c r="J622" i="1"/>
  <c r="J617" i="1"/>
  <c r="C16" i="13"/>
  <c r="J257" i="1"/>
  <c r="J271" i="1" s="1"/>
  <c r="I52" i="1"/>
  <c r="H620" i="1" s="1"/>
  <c r="J620" i="1" s="1"/>
  <c r="G625" i="1"/>
  <c r="J625" i="1" s="1"/>
  <c r="C35" i="10"/>
  <c r="C56" i="2"/>
  <c r="H663" i="1"/>
  <c r="I663" i="1" s="1"/>
  <c r="L614" i="1"/>
  <c r="L309" i="1"/>
  <c r="E122" i="2"/>
  <c r="E118" i="2"/>
  <c r="E128" i="2" s="1"/>
  <c r="C10" i="10"/>
  <c r="E109" i="2"/>
  <c r="H661" i="1"/>
  <c r="F661" i="1"/>
  <c r="C21" i="10"/>
  <c r="H647" i="1"/>
  <c r="G649" i="1"/>
  <c r="J649" i="1" s="1"/>
  <c r="F662" i="1"/>
  <c r="I662" i="1" s="1"/>
  <c r="C124" i="2"/>
  <c r="D15" i="13"/>
  <c r="C15" i="13" s="1"/>
  <c r="C118" i="2"/>
  <c r="D6" i="13"/>
  <c r="C6" i="13" s="1"/>
  <c r="C15" i="10"/>
  <c r="C12" i="10"/>
  <c r="C111" i="2"/>
  <c r="E13" i="13"/>
  <c r="C13" i="13" s="1"/>
  <c r="C122" i="2"/>
  <c r="C19" i="10"/>
  <c r="J643" i="1"/>
  <c r="I460" i="1"/>
  <c r="I461" i="1" s="1"/>
  <c r="H642" i="1" s="1"/>
  <c r="J642" i="1" s="1"/>
  <c r="E103" i="2"/>
  <c r="L211" i="1"/>
  <c r="H169" i="1"/>
  <c r="H193" i="1" s="1"/>
  <c r="G629" i="1" s="1"/>
  <c r="J629" i="1" s="1"/>
  <c r="L393" i="1"/>
  <c r="C138" i="2" s="1"/>
  <c r="A13" i="12"/>
  <c r="D127" i="2"/>
  <c r="D128" i="2" s="1"/>
  <c r="D145" i="2" s="1"/>
  <c r="D17" i="13"/>
  <c r="C17" i="13" s="1"/>
  <c r="D14" i="13"/>
  <c r="C14" i="13" s="1"/>
  <c r="C18" i="10"/>
  <c r="L247" i="1"/>
  <c r="C120" i="2"/>
  <c r="J655" i="1"/>
  <c r="F112" i="1"/>
  <c r="L290" i="1"/>
  <c r="J645" i="1"/>
  <c r="J639" i="1"/>
  <c r="K598" i="1"/>
  <c r="G647" i="1" s="1"/>
  <c r="F571" i="1"/>
  <c r="K571" i="1"/>
  <c r="L560" i="1"/>
  <c r="J545" i="1"/>
  <c r="J623" i="1"/>
  <c r="L256" i="1"/>
  <c r="C132" i="2"/>
  <c r="G549" i="1"/>
  <c r="L529" i="1"/>
  <c r="E134" i="2"/>
  <c r="L351" i="1"/>
  <c r="F130" i="2"/>
  <c r="F144" i="2" s="1"/>
  <c r="F145" i="2" s="1"/>
  <c r="L229" i="1"/>
  <c r="C17" i="10"/>
  <c r="K545" i="1"/>
  <c r="G545" i="1"/>
  <c r="I545" i="1"/>
  <c r="L427" i="1"/>
  <c r="B164" i="2"/>
  <c r="G164" i="2" s="1"/>
  <c r="K503" i="1"/>
  <c r="C123" i="2"/>
  <c r="C114" i="2"/>
  <c r="C78" i="2"/>
  <c r="C81" i="2" s="1"/>
  <c r="C18" i="2"/>
  <c r="L270" i="1"/>
  <c r="I552" i="1"/>
  <c r="L382" i="1"/>
  <c r="G636" i="1" s="1"/>
  <c r="J636" i="1" s="1"/>
  <c r="K352" i="1"/>
  <c r="C13" i="10"/>
  <c r="C62" i="2"/>
  <c r="C63" i="2" s="1"/>
  <c r="L544" i="1"/>
  <c r="L524" i="1"/>
  <c r="J338" i="1"/>
  <c r="J352" i="1" s="1"/>
  <c r="C29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E104" i="2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H660" i="1" l="1"/>
  <c r="E51" i="2"/>
  <c r="L571" i="1"/>
  <c r="C141" i="2"/>
  <c r="H664" i="1"/>
  <c r="H667" i="1" s="1"/>
  <c r="G635" i="1"/>
  <c r="J635" i="1" s="1"/>
  <c r="E115" i="2"/>
  <c r="E145" i="2" s="1"/>
  <c r="G660" i="1"/>
  <c r="G664" i="1" s="1"/>
  <c r="G667" i="1" s="1"/>
  <c r="D31" i="13"/>
  <c r="C31" i="13" s="1"/>
  <c r="C144" i="2"/>
  <c r="H33" i="13"/>
  <c r="C115" i="2"/>
  <c r="C28" i="10"/>
  <c r="D19" i="10" s="1"/>
  <c r="F660" i="1"/>
  <c r="F664" i="1" s="1"/>
  <c r="F667" i="1" s="1"/>
  <c r="F104" i="2"/>
  <c r="I661" i="1"/>
  <c r="C104" i="2"/>
  <c r="C36" i="10"/>
  <c r="H648" i="1"/>
  <c r="J648" i="1" s="1"/>
  <c r="C39" i="10"/>
  <c r="L545" i="1"/>
  <c r="K549" i="1"/>
  <c r="K552" i="1" s="1"/>
  <c r="G552" i="1"/>
  <c r="J647" i="1"/>
  <c r="L338" i="1"/>
  <c r="L352" i="1" s="1"/>
  <c r="G633" i="1" s="1"/>
  <c r="J633" i="1" s="1"/>
  <c r="F193" i="1"/>
  <c r="G627" i="1" s="1"/>
  <c r="J627" i="1" s="1"/>
  <c r="L408" i="1"/>
  <c r="L257" i="1"/>
  <c r="L271" i="1" s="1"/>
  <c r="G632" i="1" s="1"/>
  <c r="J632" i="1" s="1"/>
  <c r="C128" i="2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72" i="1"/>
  <c r="C5" i="10" s="1"/>
  <c r="D33" i="13"/>
  <c r="D36" i="13" s="1"/>
  <c r="C145" i="2"/>
  <c r="F672" i="1"/>
  <c r="C4" i="10" s="1"/>
  <c r="D10" i="10"/>
  <c r="C30" i="10"/>
  <c r="D21" i="10"/>
  <c r="D24" i="10"/>
  <c r="I660" i="1"/>
  <c r="I664" i="1" s="1"/>
  <c r="I672" i="1" s="1"/>
  <c r="C7" i="10" s="1"/>
  <c r="D18" i="10"/>
  <c r="D23" i="10"/>
  <c r="D26" i="10"/>
  <c r="D12" i="10"/>
  <c r="D27" i="10"/>
  <c r="D11" i="10"/>
  <c r="D22" i="10"/>
  <c r="D13" i="10"/>
  <c r="D17" i="10"/>
  <c r="D16" i="10"/>
  <c r="D20" i="10"/>
  <c r="D15" i="10"/>
  <c r="D25" i="10"/>
  <c r="G637" i="1"/>
  <c r="J637" i="1" s="1"/>
  <c r="H646" i="1"/>
  <c r="J646" i="1" s="1"/>
  <c r="C41" i="10"/>
  <c r="D38" i="10" s="1"/>
  <c r="I667" i="1" l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<sst xmlns="http://schemas.openxmlformats.org/spreadsheetml/2006/main" count="3967" uniqueCount="923">
  <si>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</si>
  <si>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</si>
  <si>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</si>
  <si>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</si>
  <si>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</si>
  <si>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</si>
  <si>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</si>
  <si>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</si>
  <si>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</si>
  <si>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</si>
  <si>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</si>
  <si>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</si>
  <si>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</si>
  <si>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</si>
  <si>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</si>
  <si>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</si>
  <si>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</si>
  <si>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</si>
  <si>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</si>
  <si>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</si>
  <si>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</si>
  <si>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</si>
  <si>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</si>
  <si>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</si>
  <si>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</si>
  <si>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</si>
  <si>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</si>
  <si>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</si>
  <si>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</si>
  <si>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</si>
  <si>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</si>
  <si>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</si>
  <si>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</si>
  <si>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</si>
  <si>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</si>
  <si>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</si>
  <si>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</si>
  <si>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</si>
  <si>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</si>
  <si>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</si>
  <si>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</si>
  <si>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</si>
  <si>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</si>
  <si>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</si>
  <si>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</si>
  <si>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</si>
  <si>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</si>
  <si>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</si>
  <si>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</si>
  <si>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</si>
  <si>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</si>
  <si>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</si>
  <si>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</si>
  <si>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</si>
  <si>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</si>
  <si>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</si>
  <si>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</si>
  <si>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</si>
  <si>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</si>
  <si>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</si>
  <si>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</si>
  <si>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</si>
  <si>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</si>
  <si>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</si>
  <si>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</si>
  <si>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</si>
  <si>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</si>
  <si>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</si>
  <si>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</si>
  <si>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</si>
  <si>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</si>
  <si>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</si>
  <si>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</si>
  <si>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</si>
  <si>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</si>
  <si>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</si>
  <si>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</si>
  <si>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</si>
  <si>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</si>
  <si>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</si>
  <si>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</si>
  <si>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</si>
  <si>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</si>
  <si>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</si>
  <si>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</si>
  <si>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</si>
  <si>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</si>
  <si>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</si>
  <si>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</si>
  <si>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</si>
  <si>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</si>
  <si>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</si>
  <si>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</si>
  <si>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</si>
  <si>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</si>
  <si>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</si>
  <si>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</si>
  <si>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</si>
  <si>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</si>
  <si>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</si>
  <si>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</si>
  <si>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</si>
  <si>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</si>
  <si>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</si>
  <si>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</si>
  <si>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</si>
  <si>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</si>
  <si>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</si>
  <si>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</si>
  <si>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</si>
  <si>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</si>
  <si>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</si>
  <si>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</si>
  <si>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</si>
  <si>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</si>
  <si>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</si>
  <si>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</si>
  <si>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</si>
  <si>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</si>
  <si>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</si>
  <si>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</si>
  <si>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</si>
  <si>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</si>
  <si>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</si>
  <si>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</si>
  <si>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</si>
  <si>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</si>
  <si>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</si>
  <si>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</si>
  <si>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</si>
  <si>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</si>
  <si>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</si>
  <si>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</si>
  <si>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</si>
  <si>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</si>
  <si>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</si>
  <si>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</si>
  <si>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</si>
  <si>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</si>
  <si>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</si>
  <si>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</si>
  <si>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</si>
  <si>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</si>
  <si>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</si>
  <si>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</si>
  <si>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</si>
  <si>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</si>
  <si>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</si>
  <si>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</si>
  <si>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</si>
  <si>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</si>
  <si>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</si>
  <si>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</si>
  <si>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</si>
  <si>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</si>
  <si>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</si>
  <si>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</si>
  <si>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</si>
  <si>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</si>
  <si>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</si>
  <si>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</si>
  <si>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</si>
  <si>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</si>
  <si>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</si>
  <si>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</si>
  <si>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</si>
  <si>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</si>
  <si>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</si>
  <si>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</si>
  <si>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</si>
  <si>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</si>
  <si>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</si>
  <si>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</si>
  <si>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</si>
  <si>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</si>
  <si>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</si>
  <si>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</si>
  <si>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</si>
  <si>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</si>
  <si>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</si>
  <si>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</si>
  <si>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</si>
  <si>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</si>
  <si>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</si>
  <si>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</si>
  <si>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</si>
  <si>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</si>
  <si>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</si>
  <si>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</si>
  <si>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</si>
  <si>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</si>
  <si>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</si>
  <si>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</si>
  <si>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</si>
  <si>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</si>
  <si>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</si>
  <si>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</si>
  <si>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</si>
  <si>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</si>
  <si>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</si>
  <si>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</si>
  <si>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</si>
  <si>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</si>
  <si>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</si>
  <si>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</si>
  <si>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</si>
  <si>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</si>
  <si>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</si>
  <si>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</si>
  <si>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</si>
  <si>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</si>
  <si>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</si>
  <si>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</si>
  <si>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</si>
  <si>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</si>
  <si>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</si>
  <si>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</si>
  <si>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</si>
  <si>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</si>
  <si>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</si>
  <si>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</si>
  <si>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</si>
  <si>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</si>
  <si>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</si>
  <si>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</si>
  <si>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</si>
  <si>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</si>
  <si>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</si>
  <si>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</si>
  <si>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</si>
  <si>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</si>
  <si>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</si>
  <si>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</si>
  <si>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</si>
  <si>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</si>
  <si>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</si>
  <si>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</si>
  <si>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</si>
  <si>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</si>
  <si>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</si>
  <si>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</si>
  <si>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</si>
  <si>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</si>
  <si>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</si>
  <si>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</si>
  <si>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</si>
  <si>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</si>
  <si>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</si>
  <si>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</si>
  <si>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</si>
  <si>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</si>
  <si>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</si>
  <si>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</si>
  <si>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</si>
  <si>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</si>
  <si>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</si>
  <si>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</si>
  <si>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</si>
  <si>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</si>
  <si>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</si>
  <si>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</si>
  <si>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</si>
  <si>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</si>
  <si>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</si>
  <si>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</si>
  <si>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</si>
  <si>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</si>
  <si>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</si>
  <si>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</si>
  <si>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</si>
  <si>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</si>
  <si>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</si>
  <si>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</si>
  <si>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</si>
  <si>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</si>
  <si>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</si>
  <si>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</si>
  <si>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</si>
  <si>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</si>
  <si>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</si>
  <si>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</si>
  <si>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</si>
  <si>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</si>
  <si>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</si>
  <si>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</si>
  <si>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</si>
  <si>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</si>
  <si>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</si>
  <si>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</si>
  <si>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</si>
  <si>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</si>
  <si>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</si>
  <si>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</si>
  <si>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</si>
  <si>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</si>
  <si>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</si>
  <si>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</si>
  <si>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</si>
  <si>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</si>
  <si>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</si>
  <si>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</si>
  <si>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</si>
  <si>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</si>
  <si>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</si>
  <si>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</si>
  <si>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</si>
  <si>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</si>
  <si>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</si>
  <si>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</si>
  <si>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</si>
  <si>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</si>
  <si>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</si>
  <si>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</si>
  <si>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</si>
  <si>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</si>
  <si>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</si>
  <si>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</si>
  <si>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</si>
  <si>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</si>
  <si>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</si>
  <si>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</si>
  <si>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</si>
  <si>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</si>
  <si>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</si>
  <si>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</si>
  <si>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</si>
  <si>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</si>
  <si>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</si>
  <si>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</si>
  <si>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</si>
  <si>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</si>
  <si>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</si>
  <si>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</si>
  <si>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</si>
  <si>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</si>
  <si>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</si>
  <si>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</si>
  <si>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</si>
  <si>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</si>
  <si>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</si>
  <si>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</si>
  <si>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</si>
  <si>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</si>
  <si>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</si>
  <si>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</si>
  <si>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</si>
  <si>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</si>
  <si>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</si>
  <si>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</si>
  <si>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</si>
  <si>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</si>
  <si>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</si>
  <si>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</si>
  <si>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</si>
  <si>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</si>
  <si>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</si>
  <si>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</si>
  <si>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</si>
  <si>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</si>
  <si>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</si>
  <si>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</si>
  <si>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</si>
  <si>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</si>
  <si>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</si>
  <si>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</si>
  <si>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</si>
  <si>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</si>
  <si>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</si>
  <si>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</si>
  <si>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</si>
  <si>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</si>
  <si>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</si>
  <si>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</si>
  <si>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</si>
  <si>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</si>
  <si>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</si>
  <si>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</si>
  <si>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</si>
  <si>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</si>
  <si>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</si>
  <si>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</si>
  <si>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</si>
  <si>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</si>
  <si>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</si>
  <si>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</si>
  <si>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</si>
  <si>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</si>
  <si>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</si>
  <si>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</si>
  <si>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</si>
  <si>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</si>
  <si>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</si>
  <si>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</si>
  <si>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</si>
  <si>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</si>
  <si>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</si>
  <si>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</si>
  <si>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</si>
  <si>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</si>
  <si>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</si>
  <si>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</si>
  <si>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</si>
  <si>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</si>
  <si>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</si>
  <si>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</si>
  <si>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</si>
  <si>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</si>
  <si>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</si>
  <si>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</si>
  <si>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</si>
  <si>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</si>
  <si>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</si>
  <si>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</si>
  <si>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</si>
  <si>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</si>
  <si>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</si>
  <si>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</si>
  <si>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</si>
  <si>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</si>
  <si>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</si>
  <si>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</si>
  <si>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</si>
  <si>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</si>
  <si>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</si>
  <si>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</si>
  <si>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</si>
  <si>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</si>
  <si>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</si>
  <si>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</si>
  <si>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</si>
  <si>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</si>
  <si>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</si>
  <si>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</si>
  <si>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</si>
  <si>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</si>
  <si>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</si>
  <si>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</si>
  <si>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</si>
  <si>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</si>
  <si>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</si>
  <si>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</si>
  <si>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</si>
  <si>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</si>
  <si>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</si>
  <si>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</si>
  <si>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</si>
  <si>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</si>
  <si>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</si>
  <si>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</si>
  <si>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</si>
  <si>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</si>
  <si>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</si>
  <si>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</si>
  <si>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</si>
  <si>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</si>
  <si>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</si>
  <si>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</si>
  <si>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</si>
  <si>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</si>
  <si>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</si>
  <si>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</si>
  <si>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</si>
  <si>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</si>
  <si>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</si>
  <si>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</si>
  <si>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</si>
  <si>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</si>
  <si>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</si>
  <si>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</si>
  <si>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</si>
  <si>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</si>
  <si>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</si>
  <si>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</si>
  <si>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</si>
  <si>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</si>
  <si>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</si>
  <si>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</si>
  <si>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</si>
  <si>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</si>
  <si>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</si>
  <si>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</si>
  <si>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</si>
  <si>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</si>
  <si>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</si>
  <si>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</si>
  <si>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</si>
  <si>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</si>
  <si>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</si>
  <si>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</si>
  <si>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</si>
  <si>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</si>
  <si>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</si>
  <si>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</si>
  <si>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</si>
  <si>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</si>
  <si>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</si>
  <si>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</si>
  <si>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</si>
  <si>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</si>
  <si>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</si>
  <si>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</si>
  <si>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</si>
  <si>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</si>
  <si>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</si>
  <si>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</si>
  <si>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</si>
  <si>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</si>
  <si>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</si>
  <si>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</si>
  <si>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</si>
  <si>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</si>
  <si>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</si>
  <si>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</si>
  <si>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</si>
  <si>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</si>
  <si>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</si>
  <si>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</si>
  <si>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</si>
  <si>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</si>
  <si>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</si>
  <si>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</si>
  <si>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</si>
  <si>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</si>
  <si>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</si>
  <si>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</si>
  <si>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</si>
  <si>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</si>
  <si>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</si>
  <si>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</si>
  <si>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</si>
  <si>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</si>
  <si>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</si>
  <si>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</si>
  <si>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</si>
  <si>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</si>
  <si>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</si>
  <si>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</si>
  <si>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</si>
  <si>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</si>
  <si>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</si>
  <si>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</si>
  <si>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</si>
  <si>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</si>
  <si>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</si>
  <si>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</si>
  <si>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</si>
  <si>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</si>
  <si>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</si>
  <si>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</si>
  <si>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</si>
  <si>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</si>
  <si>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</si>
  <si>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</si>
  <si>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</si>
  <si>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</si>
  <si>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</si>
  <si>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</si>
  <si>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</si>
  <si>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</si>
  <si>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</si>
  <si>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</si>
  <si>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</si>
  <si>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</si>
  <si>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</si>
  <si>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</si>
  <si>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</si>
  <si>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</si>
  <si>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</si>
  <si>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</si>
  <si>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</si>
  <si>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</si>
  <si>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</si>
  <si>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</si>
  <si>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</si>
  <si>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</si>
  <si>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</si>
  <si>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</si>
  <si>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</si>
  <si>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</si>
  <si>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</si>
  <si>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</si>
  <si>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</si>
  <si>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</si>
  <si>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</si>
  <si>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</si>
  <si>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</si>
  <si>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</si>
  <si>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</si>
  <si>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</si>
  <si>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</si>
  <si>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</si>
  <si>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</si>
  <si>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</si>
  <si>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</si>
  <si>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</si>
  <si>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</si>
  <si>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</si>
  <si>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</si>
  <si>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</si>
  <si>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</si>
  <si>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</si>
  <si>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</si>
  <si>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</si>
  <si>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</si>
  <si>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</si>
  <si>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</si>
  <si>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</si>
  <si>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</si>
  <si>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</si>
  <si>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</si>
  <si>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</si>
  <si>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</si>
  <si>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</si>
  <si>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</si>
  <si>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</si>
  <si>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</si>
  <si>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</si>
  <si>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</si>
  <si>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</si>
  <si>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</si>
  <si>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</si>
  <si>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</si>
  <si>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</si>
  <si>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</si>
  <si>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</si>
  <si>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</si>
  <si>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</si>
  <si>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</si>
  <si>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</si>
  <si>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</si>
  <si>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</si>
  <si>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</si>
  <si>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</si>
  <si>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</si>
  <si>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</si>
  <si>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</si>
  <si>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</si>
  <si>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</si>
  <si>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</si>
  <si>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</si>
  <si>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</si>
  <si>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</si>
  <si>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</si>
  <si>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</si>
  <si>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</si>
  <si>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</si>
  <si>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</si>
  <si>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</si>
  <si>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</si>
  <si>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</si>
  <si>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</si>
  <si>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</si>
  <si>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</si>
  <si>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</si>
  <si>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</si>
  <si>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</si>
  <si>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</si>
  <si>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</si>
  <si>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</si>
  <si>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</si>
  <si>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</si>
  <si>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</si>
  <si>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</si>
  <si>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</si>
  <si>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</si>
  <si>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</si>
  <si>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</si>
  <si>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</si>
  <si>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</si>
  <si>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</si>
  <si>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</si>
  <si>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</si>
  <si>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</si>
  <si>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</si>
  <si>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</si>
  <si>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</si>
  <si>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</si>
  <si>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</si>
  <si>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</si>
  <si>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</si>
  <si>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</si>
  <si>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</si>
  <si>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</si>
  <si>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</si>
  <si>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</si>
  <si>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</si>
  <si>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</si>
  <si>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</si>
  <si>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</si>
  <si>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</si>
  <si>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</si>
  <si>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</si>
  <si>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</si>
  <si>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</si>
  <si>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</si>
  <si>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</si>
  <si>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</si>
  <si>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</si>
  <si>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</si>
  <si>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</si>
  <si>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</si>
  <si>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</si>
  <si>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</si>
  <si>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</si>
  <si>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</si>
  <si>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</si>
  <si>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</si>
  <si>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</si>
  <si>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</si>
  <si>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</si>
  <si>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</si>
  <si>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</si>
  <si>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</si>
  <si>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</si>
  <si>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</si>
  <si>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</si>
  <si>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</si>
  <si>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</si>
  <si>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</si>
  <si>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</si>
  <si>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</si>
  <si>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</si>
  <si>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</si>
  <si>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</si>
  <si>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</si>
  <si>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</si>
  <si>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</si>
  <si>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</si>
  <si>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</si>
  <si>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</si>
  <si>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</si>
  <si>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</si>
  <si>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</si>
  <si>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</si>
  <si>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</si>
  <si>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</si>
  <si>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</si>
  <si>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</si>
  <si>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</si>
  <si>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</si>
  <si>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</si>
  <si>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</si>
  <si>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</si>
  <si>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</si>
  <si>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</si>
  <si>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</si>
  <si>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</si>
  <si>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</si>
  <si>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</si>
  <si>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</si>
  <si>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</si>
  <si>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</si>
  <si>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</si>
  <si>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</si>
  <si>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</si>
  <si>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</si>
  <si>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</si>
  <si>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</si>
  <si>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</si>
  <si>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</si>
  <si>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</si>
  <si>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</si>
  <si>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</si>
  <si>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</si>
  <si>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</si>
  <si>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</si>
  <si>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</si>
  <si>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</si>
  <si>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</si>
  <si>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</si>
  <si>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</si>
  <si>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</si>
  <si>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</si>
  <si>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</si>
  <si>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</si>
  <si>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</si>
  <si>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</si>
  <si>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</si>
  <si>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</si>
  <si>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</si>
  <si>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</si>
  <si>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</si>
  <si>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</si>
  <si>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</si>
  <si>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</si>
  <si>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</si>
  <si>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</si>
  <si>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</si>
  <si>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</si>
  <si>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</si>
  <si>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</si>
  <si>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</si>
  <si>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</si>
  <si>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</si>
  <si>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</si>
  <si>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</si>
  <si>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</si>
  <si>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</si>
  <si>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</si>
  <si>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</si>
  <si>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</si>
  <si>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</si>
  <si>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</si>
  <si>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</si>
  <si>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</si>
  <si>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</si>
  <si>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</si>
  <si>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</si>
  <si>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</si>
  <si>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</si>
  <si>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</si>
  <si>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</si>
  <si>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</si>
  <si>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</si>
  <si>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</si>
  <si>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</si>
  <si>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</si>
  <si>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</si>
  <si>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</si>
  <si>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</si>
  <si>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</si>
  <si>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</si>
  <si>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</si>
  <si>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</si>
  <si>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</si>
  <si>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</si>
  <si>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</si>
  <si>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</si>
  <si>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</si>
  <si>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</si>
  <si>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</si>
  <si>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</si>
  <si>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</si>
  <si>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</si>
  <si>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</si>
  <si>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</si>
  <si>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</si>
  <si>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</si>
  <si>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</si>
  <si>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</si>
  <si>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</si>
  <si>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</si>
  <si>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</si>
  <si>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</si>
  <si>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</si>
  <si>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</si>
  <si>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</si>
  <si>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</si>
  <si>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</si>
  <si>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</si>
  <si>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</si>
  <si>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</si>
  <si>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</si>
  <si>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</si>
  <si>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</si>
  <si>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</si>
  <si>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</si>
  <si>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</si>
  <si>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</si>
  <si>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</si>
  <si>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</si>
  <si>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</si>
  <si>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</si>
  <si>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</si>
  <si>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</si>
  <si>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</si>
  <si>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</si>
  <si>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</si>
  <si>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</si>
  <si>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</si>
  <si>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</si>
  <si>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</si>
  <si>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</si>
  <si>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</si>
  <si>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</si>
  <si>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</si>
  <si>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</si>
  <si>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</si>
  <si>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</si>
  <si>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</si>
  <si>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</si>
  <si>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</si>
  <si>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</si>
  <si>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</si>
  <si>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</si>
  <si>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</si>
  <si>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</si>
  <si>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</si>
  <si>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</si>
  <si>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</si>
  <si>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</si>
  <si>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</si>
  <si>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</si>
  <si>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</si>
  <si>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</si>
  <si>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</si>
  <si>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</si>
  <si>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</si>
  <si>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</si>
  <si>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</si>
  <si>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</si>
  <si>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</si>
  <si>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</si>
  <si>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</si>
  <si>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</si>
  <si>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</si>
  <si>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</si>
  <si>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</si>
  <si>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</si>
  <si>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</si>
  <si>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</si>
  <si>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</si>
  <si>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HAVERHILL COOPERATIVE SCHOOL DISTRICT</t>
  </si>
  <si>
    <t>8/21/03</t>
  </si>
  <si>
    <t>7/6/2005</t>
  </si>
  <si>
    <t>3/2/2009</t>
  </si>
  <si>
    <t>11/2008</t>
  </si>
  <si>
    <t>8/21/18</t>
  </si>
  <si>
    <t>7/5/2021</t>
  </si>
  <si>
    <t>3/1/2019</t>
  </si>
  <si>
    <t>11/2022</t>
  </si>
  <si>
    <t>6/2018</t>
  </si>
  <si>
    <t>8/2038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</si>
</sst>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238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487400+550+2</f>
        <v>487952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>
        <v>3745115</v>
      </c>
      <c r="J10" s="67">
        <f>SUM(I440)</f>
        <v>365466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183936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226249</v>
      </c>
      <c r="G13" s="18">
        <v>22379</v>
      </c>
      <c r="H13" s="18">
        <f>115848-1+938</f>
        <v>116785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1016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7955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907108</v>
      </c>
      <c r="G19" s="41">
        <f>SUM(G9:G18)</f>
        <v>22379</v>
      </c>
      <c r="H19" s="41">
        <f>SUM(H9:H18)</f>
        <v>116785</v>
      </c>
      <c r="I19" s="41">
        <f>SUM(I9:I18)</f>
        <v>3745115</v>
      </c>
      <c r="J19" s="41">
        <f>SUM(J9:J18)</f>
        <v>365466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22379</v>
      </c>
      <c r="H22" s="18">
        <f>59344+937</f>
        <v>60281</v>
      </c>
      <c r="I22" s="18">
        <v>101276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138767+21127</f>
        <v>159894</v>
      </c>
      <c r="G24" s="18"/>
      <c r="H24" s="18">
        <f>6474+2000</f>
        <v>8474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15+4+2879</f>
        <v>2898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48030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162792</v>
      </c>
      <c r="G32" s="41">
        <f>SUM(G22:G31)</f>
        <v>22379</v>
      </c>
      <c r="H32" s="41">
        <f>SUM(H22:H31)</f>
        <v>116785</v>
      </c>
      <c r="I32" s="41">
        <f>SUM(I22:I31)</f>
        <v>101276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7955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f>3741454-101276</f>
        <v>3640178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188293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f>1262+(0-1245-955)+938</f>
        <v>0</v>
      </c>
      <c r="I48" s="18">
        <v>3661</v>
      </c>
      <c r="J48" s="13">
        <f>SUM(I459)</f>
        <v>365466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149032+(13418922-13119886)</f>
        <v>448068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744316</v>
      </c>
      <c r="G51" s="41">
        <f>SUM(G35:G50)</f>
        <v>0</v>
      </c>
      <c r="H51" s="41">
        <f>SUM(H35:H50)</f>
        <v>0</v>
      </c>
      <c r="I51" s="41">
        <f>SUM(I35:I50)</f>
        <v>3643839</v>
      </c>
      <c r="J51" s="41">
        <f>SUM(J35:J50)</f>
        <v>365466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907108</v>
      </c>
      <c r="G52" s="41">
        <f>G51+G32</f>
        <v>22379</v>
      </c>
      <c r="H52" s="41">
        <f>H51+H32</f>
        <v>116785</v>
      </c>
      <c r="I52" s="41">
        <f>I51+I32</f>
        <v>3745115</v>
      </c>
      <c r="J52" s="41">
        <f>J51+J32</f>
        <v>365466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6820466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6820466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150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974229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31194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1005573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f>1124+45687</f>
        <v>46811</v>
      </c>
      <c r="G96" s="18"/>
      <c r="H96" s="18"/>
      <c r="I96" s="18">
        <v>3661</v>
      </c>
      <c r="J96" s="18">
        <v>2312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80329</f>
        <v>80329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3569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9803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25223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1971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30920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31572</v>
      </c>
      <c r="G110" s="18">
        <f>8031-1</f>
        <v>8030</v>
      </c>
      <c r="H110" s="18">
        <v>12818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124646</v>
      </c>
      <c r="G111" s="41">
        <f>SUM(G96:G110)</f>
        <v>88359</v>
      </c>
      <c r="H111" s="41">
        <f>SUM(H96:H110)</f>
        <v>38041</v>
      </c>
      <c r="I111" s="41">
        <f>SUM(I96:I110)</f>
        <v>3661</v>
      </c>
      <c r="J111" s="41">
        <f>SUM(J96:J110)</f>
        <v>2312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7950685</v>
      </c>
      <c r="G112" s="41">
        <f>G60+G111</f>
        <v>88359</v>
      </c>
      <c r="H112" s="41">
        <f>H60+H79+H94+H111</f>
        <v>38041</v>
      </c>
      <c r="I112" s="41">
        <f>I60+I111</f>
        <v>3661</v>
      </c>
      <c r="J112" s="41">
        <f>J60+J111</f>
        <v>2312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3869792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711257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4877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4585926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191672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236332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137214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18229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58+3221</f>
        <v>3279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583447</v>
      </c>
      <c r="G136" s="41">
        <f>SUM(G123:G135)</f>
        <v>3279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5169373</v>
      </c>
      <c r="G140" s="41">
        <f>G121+SUM(G136:G137)</f>
        <v>3279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231642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99982+63715</f>
        <v>163697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10996+19768+105362+2142+18785</f>
        <v>157053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297408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297408</v>
      </c>
      <c r="G162" s="41">
        <f>SUM(G150:G161)</f>
        <v>157053</v>
      </c>
      <c r="H162" s="41">
        <f>SUM(H150:H161)</f>
        <v>395339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1456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298864</v>
      </c>
      <c r="G169" s="41">
        <f>G147+G162+SUM(G163:G168)</f>
        <v>157053</v>
      </c>
      <c r="H169" s="41">
        <f>H147+H162+SUM(H163:H168)</f>
        <v>395339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3741454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3741454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48574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48574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48574</v>
      </c>
      <c r="H192" s="41">
        <f>+H183+SUM(H188:H191)</f>
        <v>0</v>
      </c>
      <c r="I192" s="41">
        <f>I177+I183+SUM(I188:I191)</f>
        <v>3741454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13418922</v>
      </c>
      <c r="G193" s="47">
        <f>G112+G140+G169+G192</f>
        <v>297265</v>
      </c>
      <c r="H193" s="47">
        <f>H112+H140+H169+H192</f>
        <v>433380</v>
      </c>
      <c r="I193" s="47">
        <f>I112+I140+I169+I192</f>
        <v>3745115</v>
      </c>
      <c r="J193" s="47">
        <f>J112+J140+J192</f>
        <v>2312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742110+1</f>
        <v>742111</v>
      </c>
      <c r="G197" s="18">
        <v>340856</v>
      </c>
      <c r="H197" s="18">
        <f>65863+21293</f>
        <v>87156</v>
      </c>
      <c r="I197" s="18">
        <v>44639</v>
      </c>
      <c r="J197" s="18">
        <f>1779+1</f>
        <v>1780</v>
      </c>
      <c r="K197" s="18">
        <f>99-1</f>
        <v>98</v>
      </c>
      <c r="L197" s="19">
        <f>SUM(F197:K197)</f>
        <v>1216640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371649-1</f>
        <v>371648</v>
      </c>
      <c r="G198" s="18">
        <v>168005</v>
      </c>
      <c r="H198" s="18">
        <f>1370+12222</f>
        <v>13592</v>
      </c>
      <c r="I198" s="18">
        <v>1834</v>
      </c>
      <c r="J198" s="18">
        <v>227</v>
      </c>
      <c r="K198" s="18">
        <v>39</v>
      </c>
      <c r="L198" s="19">
        <f>SUM(F198:K198)</f>
        <v>555345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14728</v>
      </c>
      <c r="G200" s="18">
        <v>3380</v>
      </c>
      <c r="H200" s="18"/>
      <c r="I200" s="18">
        <v>50</v>
      </c>
      <c r="J200" s="18"/>
      <c r="K200" s="18"/>
      <c r="L200" s="19">
        <f>SUM(F200:K200)</f>
        <v>18158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104727-1</f>
        <v>104726</v>
      </c>
      <c r="G202" s="18">
        <v>56592</v>
      </c>
      <c r="H202" s="18">
        <f>157634+2336+120</f>
        <v>160090</v>
      </c>
      <c r="I202" s="18">
        <v>5142</v>
      </c>
      <c r="J202" s="18"/>
      <c r="K202" s="18"/>
      <c r="L202" s="19">
        <f t="shared" ref="L202:L208" si="0">SUM(F202:K202)</f>
        <v>326550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23227</v>
      </c>
      <c r="G203" s="18">
        <v>29930</v>
      </c>
      <c r="H203" s="18">
        <f>2038+186</f>
        <v>2224</v>
      </c>
      <c r="I203" s="18">
        <v>3327</v>
      </c>
      <c r="J203" s="18">
        <v>1942</v>
      </c>
      <c r="K203" s="18"/>
      <c r="L203" s="19">
        <f t="shared" si="0"/>
        <v>60650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2957</v>
      </c>
      <c r="G204" s="18">
        <v>276</v>
      </c>
      <c r="H204" s="18">
        <f>233658+10028</f>
        <v>243686</v>
      </c>
      <c r="I204" s="18">
        <v>187</v>
      </c>
      <c r="J204" s="18"/>
      <c r="K204" s="18">
        <v>1168</v>
      </c>
      <c r="L204" s="19">
        <f t="shared" si="0"/>
        <v>248274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104377</v>
      </c>
      <c r="G205" s="18">
        <v>65466</v>
      </c>
      <c r="H205" s="18">
        <f>345+4515</f>
        <v>4860</v>
      </c>
      <c r="I205" s="18">
        <v>494</v>
      </c>
      <c r="J205" s="18"/>
      <c r="K205" s="18">
        <v>565</v>
      </c>
      <c r="L205" s="19">
        <f t="shared" si="0"/>
        <v>175762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42371</v>
      </c>
      <c r="G207" s="18">
        <v>15281</v>
      </c>
      <c r="H207" s="18">
        <f>21670+95662+3707</f>
        <v>121039</v>
      </c>
      <c r="I207" s="18">
        <v>77366</v>
      </c>
      <c r="J207" s="18">
        <v>2826</v>
      </c>
      <c r="K207" s="18">
        <f>339+1</f>
        <v>340</v>
      </c>
      <c r="L207" s="19">
        <f t="shared" si="0"/>
        <v>259223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9937</v>
      </c>
      <c r="G208" s="18">
        <v>5522</v>
      </c>
      <c r="H208" s="18">
        <f>558+2155+120482</f>
        <v>123195</v>
      </c>
      <c r="I208" s="18">
        <v>1197</v>
      </c>
      <c r="J208" s="18"/>
      <c r="K208" s="18">
        <f>55-1</f>
        <v>54</v>
      </c>
      <c r="L208" s="19">
        <f t="shared" si="0"/>
        <v>139905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7428</v>
      </c>
      <c r="I209" s="18">
        <v>1531</v>
      </c>
      <c r="J209" s="18">
        <v>9253</v>
      </c>
      <c r="K209" s="18"/>
      <c r="L209" s="19">
        <f>SUM(F209:K209)</f>
        <v>18212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1416082</v>
      </c>
      <c r="G211" s="41">
        <f t="shared" si="1"/>
        <v>685308</v>
      </c>
      <c r="H211" s="41">
        <f t="shared" si="1"/>
        <v>763270</v>
      </c>
      <c r="I211" s="41">
        <f t="shared" si="1"/>
        <v>135767</v>
      </c>
      <c r="J211" s="41">
        <f t="shared" si="1"/>
        <v>16028</v>
      </c>
      <c r="K211" s="41">
        <f t="shared" si="1"/>
        <v>2264</v>
      </c>
      <c r="L211" s="41">
        <f t="shared" si="1"/>
        <v>3018719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1079319</v>
      </c>
      <c r="G215" s="18">
        <v>598323</v>
      </c>
      <c r="H215" s="18">
        <f>202+2213</f>
        <v>2415</v>
      </c>
      <c r="I215" s="18">
        <v>61475</v>
      </c>
      <c r="J215" s="18">
        <v>5456</v>
      </c>
      <c r="K215" s="18">
        <v>1197</v>
      </c>
      <c r="L215" s="19">
        <f>SUM(F215:K215)</f>
        <v>1748185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418558</v>
      </c>
      <c r="G216" s="18">
        <v>214791</v>
      </c>
      <c r="H216" s="18">
        <f>30526+229498</f>
        <v>260024</v>
      </c>
      <c r="I216" s="18">
        <v>5337</v>
      </c>
      <c r="J216" s="18">
        <v>878</v>
      </c>
      <c r="K216" s="18">
        <v>48</v>
      </c>
      <c r="L216" s="19">
        <f>SUM(F216:K216)</f>
        <v>899636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93580</v>
      </c>
      <c r="G218" s="18">
        <v>17140</v>
      </c>
      <c r="H218" s="18">
        <f>8845+1635+2153</f>
        <v>12633</v>
      </c>
      <c r="I218" s="18">
        <v>10057</v>
      </c>
      <c r="J218" s="18">
        <v>3000</v>
      </c>
      <c r="K218" s="18">
        <v>1805</v>
      </c>
      <c r="L218" s="19">
        <f>SUM(F218:K218)</f>
        <v>138215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163242</v>
      </c>
      <c r="G220" s="18">
        <v>89504</v>
      </c>
      <c r="H220" s="18">
        <f>118566+2605+306</f>
        <v>121477</v>
      </c>
      <c r="I220" s="18">
        <v>7929</v>
      </c>
      <c r="J220" s="18"/>
      <c r="K220" s="18"/>
      <c r="L220" s="19">
        <f t="shared" ref="L220:L226" si="2">SUM(F220:K220)</f>
        <v>382152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69538</v>
      </c>
      <c r="G221" s="18">
        <v>56067</v>
      </c>
      <c r="H221" s="18">
        <f>3167+2786</f>
        <v>5953</v>
      </c>
      <c r="I221" s="18">
        <v>3603</v>
      </c>
      <c r="J221" s="18">
        <v>12847</v>
      </c>
      <c r="K221" s="18"/>
      <c r="L221" s="19">
        <f t="shared" si="2"/>
        <v>148008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3387</v>
      </c>
      <c r="G222" s="18">
        <v>311</v>
      </c>
      <c r="H222" s="18">
        <f>287158+12277</f>
        <v>299435</v>
      </c>
      <c r="I222" s="18">
        <v>229</v>
      </c>
      <c r="J222" s="18"/>
      <c r="K222" s="18">
        <v>1432</v>
      </c>
      <c r="L222" s="19">
        <f t="shared" si="2"/>
        <v>304794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224869</v>
      </c>
      <c r="G223" s="18">
        <v>124777</v>
      </c>
      <c r="H223" s="18">
        <f>375+6170</f>
        <v>6545</v>
      </c>
      <c r="I223" s="18">
        <v>1742</v>
      </c>
      <c r="J223" s="18">
        <v>1118</v>
      </c>
      <c r="K223" s="18">
        <v>779</v>
      </c>
      <c r="L223" s="19">
        <f t="shared" si="2"/>
        <v>359830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78381</v>
      </c>
      <c r="G225" s="18">
        <v>33531</v>
      </c>
      <c r="H225" s="18">
        <f>26552+152717+4544</f>
        <v>183813</v>
      </c>
      <c r="I225" s="18">
        <f>94050</f>
        <v>94050</v>
      </c>
      <c r="J225" s="18"/>
      <c r="K225" s="18">
        <v>415</v>
      </c>
      <c r="L225" s="19">
        <f t="shared" si="2"/>
        <v>390190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8233</v>
      </c>
      <c r="G226" s="18">
        <v>4636</v>
      </c>
      <c r="H226" s="18">
        <f>684+2641+161973</f>
        <v>165298</v>
      </c>
      <c r="I226" s="18">
        <v>1467</v>
      </c>
      <c r="J226" s="18"/>
      <c r="K226" s="18">
        <v>68</v>
      </c>
      <c r="L226" s="19">
        <f t="shared" si="2"/>
        <v>179702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>
        <v>7584</v>
      </c>
      <c r="I227" s="18">
        <v>3207</v>
      </c>
      <c r="J227" s="18">
        <v>10990</v>
      </c>
      <c r="K227" s="18"/>
      <c r="L227" s="19">
        <f>SUM(F227:K227)</f>
        <v>21781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2139107</v>
      </c>
      <c r="G229" s="41">
        <f>SUM(G215:G228)</f>
        <v>1139080</v>
      </c>
      <c r="H229" s="41">
        <f>SUM(H215:H228)</f>
        <v>1065177</v>
      </c>
      <c r="I229" s="41">
        <f>SUM(I215:I228)</f>
        <v>189096</v>
      </c>
      <c r="J229" s="41">
        <f>SUM(J215:J228)</f>
        <v>34289</v>
      </c>
      <c r="K229" s="41">
        <f t="shared" si="3"/>
        <v>5744</v>
      </c>
      <c r="L229" s="41">
        <f t="shared" si="3"/>
        <v>4572493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1035599</v>
      </c>
      <c r="G233" s="18">
        <v>524836</v>
      </c>
      <c r="H233" s="18">
        <f>280+21335</f>
        <v>21615</v>
      </c>
      <c r="I233" s="18">
        <v>66338</v>
      </c>
      <c r="J233" s="18">
        <v>5252</v>
      </c>
      <c r="K233" s="18">
        <v>5155</v>
      </c>
      <c r="L233" s="19">
        <f>SUM(F233:K233)</f>
        <v>1658795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353467</v>
      </c>
      <c r="G234" s="18">
        <v>197253</v>
      </c>
      <c r="H234" s="18">
        <f>212803+284375</f>
        <v>497178</v>
      </c>
      <c r="I234" s="18">
        <v>1940</v>
      </c>
      <c r="J234" s="18"/>
      <c r="K234" s="18">
        <v>39</v>
      </c>
      <c r="L234" s="19">
        <f>SUM(F234:K234)</f>
        <v>1049877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f>378193</f>
        <v>378193</v>
      </c>
      <c r="I235" s="18"/>
      <c r="J235" s="18"/>
      <c r="K235" s="18"/>
      <c r="L235" s="19">
        <f>SUM(F235:K235)</f>
        <v>378193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86338</v>
      </c>
      <c r="G236" s="18">
        <v>12196</v>
      </c>
      <c r="H236" s="18">
        <f>18824+209+7247</f>
        <v>26280</v>
      </c>
      <c r="I236" s="18">
        <v>8497</v>
      </c>
      <c r="J236" s="18"/>
      <c r="K236" s="18">
        <v>5877</v>
      </c>
      <c r="L236" s="19">
        <f>SUM(F236:K236)</f>
        <v>139188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149352</v>
      </c>
      <c r="G238" s="18">
        <v>84932</v>
      </c>
      <c r="H238" s="18">
        <f>79256+2164+3907</f>
        <v>85327</v>
      </c>
      <c r="I238" s="18">
        <v>7660</v>
      </c>
      <c r="J238" s="18">
        <v>776</v>
      </c>
      <c r="K238" s="18">
        <v>1140</v>
      </c>
      <c r="L238" s="19">
        <f t="shared" ref="L238:L244" si="4">SUM(F238:K238)</f>
        <v>329187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43181</v>
      </c>
      <c r="G239" s="18">
        <v>18458</v>
      </c>
      <c r="H239" s="18">
        <f>2824+1956</f>
        <v>4780</v>
      </c>
      <c r="I239" s="18">
        <v>2906</v>
      </c>
      <c r="J239" s="18">
        <v>34614</v>
      </c>
      <c r="K239" s="18"/>
      <c r="L239" s="19">
        <f t="shared" si="4"/>
        <v>103939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2881</v>
      </c>
      <c r="G240" s="18">
        <v>262</v>
      </c>
      <c r="H240" s="18">
        <f>233810+10058</f>
        <v>243868</v>
      </c>
      <c r="I240" s="18">
        <v>187</v>
      </c>
      <c r="J240" s="18"/>
      <c r="K240" s="18">
        <v>1168</v>
      </c>
      <c r="L240" s="19">
        <f t="shared" si="4"/>
        <v>248366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241028</v>
      </c>
      <c r="G241" s="18">
        <v>123041</v>
      </c>
      <c r="H241" s="18">
        <f>10+824+11087</f>
        <v>11921</v>
      </c>
      <c r="I241" s="18">
        <v>8892</v>
      </c>
      <c r="J241" s="18">
        <v>232</v>
      </c>
      <c r="K241" s="18">
        <v>1888</v>
      </c>
      <c r="L241" s="19">
        <f t="shared" si="4"/>
        <v>387002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80987</v>
      </c>
      <c r="G243" s="18">
        <v>25992</v>
      </c>
      <c r="H243" s="18">
        <f>21659+117582+3707</f>
        <v>142948</v>
      </c>
      <c r="I243" s="18">
        <v>132424</v>
      </c>
      <c r="J243" s="18">
        <v>27804</v>
      </c>
      <c r="K243" s="18">
        <v>341</v>
      </c>
      <c r="L243" s="19">
        <f t="shared" si="4"/>
        <v>410496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8330</v>
      </c>
      <c r="G244" s="18">
        <v>4754</v>
      </c>
      <c r="H244" s="18">
        <f>558+2155+205687</f>
        <v>208400</v>
      </c>
      <c r="I244" s="18">
        <v>1197</v>
      </c>
      <c r="J244" s="18"/>
      <c r="K244" s="18">
        <v>55</v>
      </c>
      <c r="L244" s="19">
        <f t="shared" si="4"/>
        <v>222736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28087</v>
      </c>
      <c r="I245" s="18">
        <v>3129</v>
      </c>
      <c r="J245" s="18">
        <v>20354</v>
      </c>
      <c r="K245" s="18"/>
      <c r="L245" s="19">
        <f>SUM(F245:K245)</f>
        <v>51570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2001163</v>
      </c>
      <c r="G247" s="41">
        <f t="shared" si="5"/>
        <v>991724</v>
      </c>
      <c r="H247" s="41">
        <f t="shared" si="5"/>
        <v>1648597</v>
      </c>
      <c r="I247" s="41">
        <f t="shared" si="5"/>
        <v>233170</v>
      </c>
      <c r="J247" s="41">
        <f t="shared" si="5"/>
        <v>89032</v>
      </c>
      <c r="K247" s="41">
        <f t="shared" si="5"/>
        <v>15663</v>
      </c>
      <c r="L247" s="41">
        <f t="shared" si="5"/>
        <v>4979349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65000</v>
      </c>
      <c r="G250" s="18">
        <f>33481+1</f>
        <v>33482</v>
      </c>
      <c r="H250" s="18"/>
      <c r="I250" s="18"/>
      <c r="J250" s="18"/>
      <c r="K250" s="18"/>
      <c r="L250" s="19">
        <f t="shared" ref="L250:L255" si="6">SUM(F250:K250)</f>
        <v>98482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f>9755+1</f>
        <v>9756</v>
      </c>
      <c r="G253" s="18">
        <v>5182</v>
      </c>
      <c r="H253" s="18">
        <v>1661</v>
      </c>
      <c r="I253" s="18">
        <v>483</v>
      </c>
      <c r="J253" s="18"/>
      <c r="K253" s="18"/>
      <c r="L253" s="19">
        <f t="shared" si="6"/>
        <v>17082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74756</v>
      </c>
      <c r="G256" s="41">
        <f t="shared" si="7"/>
        <v>38664</v>
      </c>
      <c r="H256" s="41">
        <f t="shared" si="7"/>
        <v>1661</v>
      </c>
      <c r="I256" s="41">
        <f t="shared" si="7"/>
        <v>483</v>
      </c>
      <c r="J256" s="41">
        <f t="shared" si="7"/>
        <v>0</v>
      </c>
      <c r="K256" s="41">
        <f t="shared" si="7"/>
        <v>0</v>
      </c>
      <c r="L256" s="41">
        <f>SUM(F256:K256)</f>
        <v>115564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5631108</v>
      </c>
      <c r="G257" s="41">
        <f t="shared" si="8"/>
        <v>2854776</v>
      </c>
      <c r="H257" s="41">
        <f t="shared" si="8"/>
        <v>3478705</v>
      </c>
      <c r="I257" s="41">
        <f t="shared" si="8"/>
        <v>558516</v>
      </c>
      <c r="J257" s="41">
        <f t="shared" si="8"/>
        <v>139349</v>
      </c>
      <c r="K257" s="41">
        <f t="shared" si="8"/>
        <v>23671</v>
      </c>
      <c r="L257" s="41">
        <f t="shared" si="8"/>
        <v>12686125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364481</v>
      </c>
      <c r="L260" s="19">
        <f>SUM(F260:K260)</f>
        <v>364481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9715</v>
      </c>
      <c r="L261" s="19">
        <f>SUM(F261:K261)</f>
        <v>9715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48574</v>
      </c>
      <c r="L263" s="19">
        <f>SUM(F263:K263)</f>
        <v>48574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10991</v>
      </c>
      <c r="L268" s="19">
        <f t="shared" si="9"/>
        <v>10991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433761</v>
      </c>
      <c r="L270" s="41">
        <f t="shared" si="9"/>
        <v>433761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5631108</v>
      </c>
      <c r="G271" s="42">
        <f t="shared" si="11"/>
        <v>2854776</v>
      </c>
      <c r="H271" s="42">
        <f t="shared" si="11"/>
        <v>3478705</v>
      </c>
      <c r="I271" s="42">
        <f t="shared" si="11"/>
        <v>558516</v>
      </c>
      <c r="J271" s="42">
        <f t="shared" si="11"/>
        <v>139349</v>
      </c>
      <c r="K271" s="42">
        <f t="shared" si="11"/>
        <v>457432</v>
      </c>
      <c r="L271" s="42">
        <f t="shared" si="11"/>
        <v>13119886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137054</v>
      </c>
      <c r="G276" s="18">
        <v>63019</v>
      </c>
      <c r="H276" s="18"/>
      <c r="I276" s="18"/>
      <c r="J276" s="18"/>
      <c r="K276" s="18"/>
      <c r="L276" s="19">
        <f>SUM(F276:K276)</f>
        <v>200073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2544</v>
      </c>
      <c r="G279" s="18">
        <v>572</v>
      </c>
      <c r="H279" s="18"/>
      <c r="I279" s="18"/>
      <c r="J279" s="18"/>
      <c r="K279" s="18"/>
      <c r="L279" s="19">
        <f>SUM(F279:K279)</f>
        <v>3116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v>4948</v>
      </c>
      <c r="J281" s="18"/>
      <c r="K281" s="18"/>
      <c r="L281" s="19">
        <f t="shared" ref="L281:L287" si="12">SUM(F281:K281)</f>
        <v>4948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11662+3281</f>
        <v>14943</v>
      </c>
      <c r="G282" s="18">
        <f>2824+15122</f>
        <v>17946</v>
      </c>
      <c r="H282" s="18">
        <f>31067+5194</f>
        <v>36261</v>
      </c>
      <c r="I282" s="18">
        <f>1830+3285</f>
        <v>5115</v>
      </c>
      <c r="J282" s="18"/>
      <c r="K282" s="18"/>
      <c r="L282" s="19">
        <f t="shared" si="12"/>
        <v>74265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4500</v>
      </c>
      <c r="L283" s="19">
        <f t="shared" si="12"/>
        <v>4500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>
        <v>830</v>
      </c>
      <c r="J286" s="18"/>
      <c r="K286" s="18"/>
      <c r="L286" s="19">
        <f t="shared" si="12"/>
        <v>830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154541</v>
      </c>
      <c r="G290" s="42">
        <f t="shared" si="13"/>
        <v>81537</v>
      </c>
      <c r="H290" s="42">
        <f t="shared" si="13"/>
        <v>36261</v>
      </c>
      <c r="I290" s="42">
        <f t="shared" si="13"/>
        <v>10893</v>
      </c>
      <c r="J290" s="42">
        <f t="shared" si="13"/>
        <v>0</v>
      </c>
      <c r="K290" s="42">
        <f t="shared" si="13"/>
        <v>4500</v>
      </c>
      <c r="L290" s="41">
        <f t="shared" si="13"/>
        <v>287732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36648</v>
      </c>
      <c r="G295" s="18">
        <v>11179</v>
      </c>
      <c r="H295" s="18"/>
      <c r="I295" s="18">
        <v>202</v>
      </c>
      <c r="J295" s="18"/>
      <c r="K295" s="18"/>
      <c r="L295" s="19">
        <f>SUM(F295:K295)</f>
        <v>48029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6264</v>
      </c>
      <c r="G298" s="18">
        <v>1564</v>
      </c>
      <c r="H298" s="18"/>
      <c r="I298" s="18"/>
      <c r="J298" s="18"/>
      <c r="K298" s="18"/>
      <c r="L298" s="19">
        <f>SUM(F298:K298)</f>
        <v>7828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>
        <v>1743</v>
      </c>
      <c r="H301" s="18"/>
      <c r="I301" s="18"/>
      <c r="J301" s="18"/>
      <c r="K301" s="18"/>
      <c r="L301" s="19">
        <f t="shared" si="14"/>
        <v>1743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>
        <v>1714</v>
      </c>
      <c r="L302" s="19">
        <f t="shared" si="14"/>
        <v>1714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33803</v>
      </c>
      <c r="G303" s="18">
        <v>27052</v>
      </c>
      <c r="H303" s="18"/>
      <c r="I303" s="18"/>
      <c r="J303" s="18"/>
      <c r="K303" s="18">
        <v>2860</v>
      </c>
      <c r="L303" s="19">
        <f t="shared" si="14"/>
        <v>63715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76715</v>
      </c>
      <c r="G309" s="42">
        <f t="shared" si="15"/>
        <v>41538</v>
      </c>
      <c r="H309" s="42">
        <f t="shared" si="15"/>
        <v>0</v>
      </c>
      <c r="I309" s="42">
        <f t="shared" si="15"/>
        <v>202</v>
      </c>
      <c r="J309" s="42">
        <f t="shared" si="15"/>
        <v>0</v>
      </c>
      <c r="K309" s="42">
        <f t="shared" si="15"/>
        <v>4574</v>
      </c>
      <c r="L309" s="41">
        <f t="shared" si="15"/>
        <v>123029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>
        <f>1245-938</f>
        <v>307</v>
      </c>
      <c r="I314" s="18">
        <v>1030</v>
      </c>
      <c r="J314" s="18">
        <v>6840</v>
      </c>
      <c r="K314" s="18"/>
      <c r="L314" s="19">
        <f>SUM(F314:K314)</f>
        <v>8177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5025</v>
      </c>
      <c r="G317" s="18">
        <v>923</v>
      </c>
      <c r="H317" s="18"/>
      <c r="I317" s="18">
        <v>122</v>
      </c>
      <c r="J317" s="18"/>
      <c r="K317" s="18"/>
      <c r="L317" s="19">
        <f>SUM(F317:K317)</f>
        <v>6070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v>450</v>
      </c>
      <c r="I319" s="18">
        <v>6273</v>
      </c>
      <c r="J319" s="18"/>
      <c r="K319" s="18">
        <f>657-1</f>
        <v>656</v>
      </c>
      <c r="L319" s="19">
        <f t="shared" ref="L319:L325" si="16">SUM(F319:K319)</f>
        <v>7379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f>230+1070</f>
        <v>1300</v>
      </c>
      <c r="I320" s="18"/>
      <c r="J320" s="18"/>
      <c r="K320" s="18"/>
      <c r="L320" s="19">
        <f t="shared" si="16"/>
        <v>1300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955</v>
      </c>
      <c r="I325" s="18"/>
      <c r="J325" s="18"/>
      <c r="K325" s="18"/>
      <c r="L325" s="19">
        <f t="shared" si="16"/>
        <v>955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5025</v>
      </c>
      <c r="G328" s="42">
        <f t="shared" si="17"/>
        <v>923</v>
      </c>
      <c r="H328" s="42">
        <f t="shared" si="17"/>
        <v>3012</v>
      </c>
      <c r="I328" s="42">
        <f t="shared" si="17"/>
        <v>7425</v>
      </c>
      <c r="J328" s="42">
        <f t="shared" si="17"/>
        <v>6840</v>
      </c>
      <c r="K328" s="42">
        <f t="shared" si="17"/>
        <v>656</v>
      </c>
      <c r="L328" s="41">
        <f t="shared" si="17"/>
        <v>23881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236281</v>
      </c>
      <c r="G338" s="41">
        <f t="shared" si="20"/>
        <v>123998</v>
      </c>
      <c r="H338" s="41">
        <f t="shared" si="20"/>
        <v>39273</v>
      </c>
      <c r="I338" s="41">
        <f t="shared" si="20"/>
        <v>18520</v>
      </c>
      <c r="J338" s="41">
        <f t="shared" si="20"/>
        <v>6840</v>
      </c>
      <c r="K338" s="41">
        <f t="shared" si="20"/>
        <v>9730</v>
      </c>
      <c r="L338" s="41">
        <f t="shared" si="20"/>
        <v>434642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236281</v>
      </c>
      <c r="G352" s="41">
        <f>G338</f>
        <v>123998</v>
      </c>
      <c r="H352" s="41">
        <f>H338</f>
        <v>39273</v>
      </c>
      <c r="I352" s="41">
        <f>I338</f>
        <v>18520</v>
      </c>
      <c r="J352" s="41">
        <f>J338</f>
        <v>6840</v>
      </c>
      <c r="K352" s="47">
        <f>K338+K351</f>
        <v>9730</v>
      </c>
      <c r="L352" s="41">
        <f>L338+L351</f>
        <v>434642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79385+3943</f>
        <v>83328</v>
      </c>
      <c r="I358" s="18"/>
      <c r="J358" s="18">
        <v>67</v>
      </c>
      <c r="K358" s="18"/>
      <c r="L358" s="13">
        <f>SUM(F358:K358)</f>
        <v>83395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3000</v>
      </c>
      <c r="G359" s="18">
        <f>571-1</f>
        <v>570</v>
      </c>
      <c r="H359" s="18">
        <f>102378+900</f>
        <v>103278</v>
      </c>
      <c r="I359" s="18"/>
      <c r="J359" s="18">
        <v>12071</v>
      </c>
      <c r="K359" s="18"/>
      <c r="L359" s="19">
        <f>SUM(F359:K359)</f>
        <v>118919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f>83529+1290</f>
        <v>84819</v>
      </c>
      <c r="I360" s="18"/>
      <c r="J360" s="18">
        <v>10132</v>
      </c>
      <c r="K360" s="18"/>
      <c r="L360" s="19">
        <f>SUM(F360:K360)</f>
        <v>94951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3000</v>
      </c>
      <c r="G362" s="47">
        <f t="shared" si="22"/>
        <v>570</v>
      </c>
      <c r="H362" s="47">
        <f t="shared" si="22"/>
        <v>271425</v>
      </c>
      <c r="I362" s="47">
        <f t="shared" si="22"/>
        <v>0</v>
      </c>
      <c r="J362" s="47">
        <f t="shared" si="22"/>
        <v>22270</v>
      </c>
      <c r="K362" s="47">
        <f t="shared" si="22"/>
        <v>0</v>
      </c>
      <c r="L362" s="47">
        <f t="shared" si="22"/>
        <v>297265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>
        <v>2500</v>
      </c>
      <c r="K374" s="18"/>
      <c r="L374" s="13">
        <f>SUM(F374:K374)</f>
        <v>2500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98776</v>
      </c>
      <c r="I379" s="18"/>
      <c r="J379" s="18"/>
      <c r="K379" s="18"/>
      <c r="L379" s="13">
        <f t="shared" si="23"/>
        <v>98776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98776</v>
      </c>
      <c r="I382" s="41">
        <f t="shared" si="24"/>
        <v>0</v>
      </c>
      <c r="J382" s="47">
        <f t="shared" si="24"/>
        <v>2500</v>
      </c>
      <c r="K382" s="47">
        <f t="shared" si="24"/>
        <v>0</v>
      </c>
      <c r="L382" s="47">
        <f t="shared" si="24"/>
        <v>101276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151</v>
      </c>
      <c r="I389" s="18"/>
      <c r="J389" s="24" t="s">
        <v>286</v>
      </c>
      <c r="K389" s="24" t="s">
        <v>286</v>
      </c>
      <c r="L389" s="56">
        <f t="shared" si="25"/>
        <v>151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151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151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937</v>
      </c>
      <c r="I396" s="18"/>
      <c r="J396" s="24" t="s">
        <v>286</v>
      </c>
      <c r="K396" s="24" t="s">
        <v>286</v>
      </c>
      <c r="L396" s="56">
        <f t="shared" si="26"/>
        <v>937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1024</v>
      </c>
      <c r="I397" s="18"/>
      <c r="J397" s="24" t="s">
        <v>286</v>
      </c>
      <c r="K397" s="24" t="s">
        <v>286</v>
      </c>
      <c r="L397" s="56">
        <f t="shared" si="26"/>
        <v>1024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200</v>
      </c>
      <c r="I400" s="18"/>
      <c r="J400" s="24" t="s">
        <v>286</v>
      </c>
      <c r="K400" s="24" t="s">
        <v>286</v>
      </c>
      <c r="L400" s="56">
        <f t="shared" si="26"/>
        <v>200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2161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2161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2312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2312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365466</v>
      </c>
      <c r="H440" s="18"/>
      <c r="I440" s="56">
        <f t="shared" si="33"/>
        <v>365466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365466</v>
      </c>
      <c r="H446" s="13">
        <f>SUM(H439:H445)</f>
        <v>0</v>
      </c>
      <c r="I446" s="13">
        <f>SUM(I439:I445)</f>
        <v>365466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f>363154+2312</f>
        <v>365466</v>
      </c>
      <c r="H459" s="18"/>
      <c r="I459" s="56">
        <f t="shared" si="34"/>
        <v>365466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365466</v>
      </c>
      <c r="H460" s="83">
        <f>SUM(H454:H459)</f>
        <v>0</v>
      </c>
      <c r="I460" s="83">
        <f>SUM(I454:I459)</f>
        <v>365466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365466</v>
      </c>
      <c r="H461" s="42">
        <f>H452+H460</f>
        <v>0</v>
      </c>
      <c r="I461" s="42">
        <f>I452+I460</f>
        <v>365466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445280</v>
      </c>
      <c r="G465" s="18">
        <v>0</v>
      </c>
      <c r="H465" s="18">
        <v>1262</v>
      </c>
      <c r="I465" s="18">
        <v>0</v>
      </c>
      <c r="J465" s="18">
        <v>363154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13418922</v>
      </c>
      <c r="G468" s="18">
        <v>297265</v>
      </c>
      <c r="H468" s="18">
        <v>433380</v>
      </c>
      <c r="I468" s="18">
        <f>3745115</f>
        <v>3745115</v>
      </c>
      <c r="J468" s="18">
        <v>2312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13418922</v>
      </c>
      <c r="G470" s="53">
        <f>SUM(G468:G469)</f>
        <v>297265</v>
      </c>
      <c r="H470" s="53">
        <f>SUM(H468:H469)</f>
        <v>433380</v>
      </c>
      <c r="I470" s="53">
        <f>SUM(I468:I469)</f>
        <v>3745115</v>
      </c>
      <c r="J470" s="53">
        <f>SUM(J468:J469)</f>
        <v>2312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13119886</v>
      </c>
      <c r="G472" s="18">
        <v>297265</v>
      </c>
      <c r="H472" s="18">
        <f>435580-938</f>
        <v>434642</v>
      </c>
      <c r="I472" s="18">
        <v>101276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13119886</v>
      </c>
      <c r="G474" s="53">
        <f>SUM(G472:G473)</f>
        <v>297265</v>
      </c>
      <c r="H474" s="53">
        <f>SUM(H472:H473)</f>
        <v>434642</v>
      </c>
      <c r="I474" s="53">
        <f>SUM(I472:I473)</f>
        <v>101276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744316</v>
      </c>
      <c r="G476" s="53">
        <f>(G465+G470)- G474</f>
        <v>0</v>
      </c>
      <c r="H476" s="53">
        <f>(H465+H470)- H474</f>
        <v>0</v>
      </c>
      <c r="I476" s="53">
        <f>(I465+I470)- I474</f>
        <v>3643839</v>
      </c>
      <c r="J476" s="53">
        <f>(J465+J470)- J474</f>
        <v>365466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15</v>
      </c>
      <c r="G490" s="154">
        <v>15</v>
      </c>
      <c r="H490" s="154">
        <v>10</v>
      </c>
      <c r="I490" s="154">
        <v>14</v>
      </c>
      <c r="J490" s="154">
        <v>20</v>
      </c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914</v>
      </c>
      <c r="H491" s="155" t="s">
        <v>915</v>
      </c>
      <c r="I491" s="155" t="s">
        <v>916</v>
      </c>
      <c r="J491" s="275" t="s">
        <v>921</v>
      </c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917</v>
      </c>
      <c r="G492" s="155" t="s">
        <v>918</v>
      </c>
      <c r="H492" s="155" t="s">
        <v>919</v>
      </c>
      <c r="I492" s="155" t="s">
        <v>920</v>
      </c>
      <c r="J492" s="275" t="s">
        <v>922</v>
      </c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500000</v>
      </c>
      <c r="G493" s="18">
        <v>1694000</v>
      </c>
      <c r="H493" s="18">
        <v>605000</v>
      </c>
      <c r="I493" s="18">
        <v>1498000</v>
      </c>
      <c r="J493" s="18">
        <v>3541950</v>
      </c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0</v>
      </c>
      <c r="G494" s="18">
        <v>0</v>
      </c>
      <c r="H494" s="18">
        <v>4.5</v>
      </c>
      <c r="I494" s="18">
        <v>0</v>
      </c>
      <c r="J494" s="18">
        <v>3.34</v>
      </c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f>100000.04-33333.33</f>
        <v>66666.709999999992</v>
      </c>
      <c r="G495" s="18">
        <f>607600.03-112933.33</f>
        <v>494666.7</v>
      </c>
      <c r="H495" s="18">
        <f>181500-60500</f>
        <v>121000</v>
      </c>
      <c r="I495" s="18">
        <f>749000-107000</f>
        <v>642000</v>
      </c>
      <c r="J495" s="18">
        <v>0</v>
      </c>
      <c r="K495" s="53">
        <f>SUM(F495:J495)</f>
        <v>1324333.4100000001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>
        <v>3541950</v>
      </c>
      <c r="K496" s="53">
        <f t="shared" ref="K496:K503" si="35">SUM(F496:J496)</f>
        <v>3541950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33333.33</v>
      </c>
      <c r="G497" s="18">
        <v>112933.33</v>
      </c>
      <c r="H497" s="18">
        <v>60500</v>
      </c>
      <c r="I497" s="18">
        <v>107000</v>
      </c>
      <c r="J497" s="18">
        <v>0</v>
      </c>
      <c r="K497" s="53">
        <f t="shared" si="35"/>
        <v>313766.66000000003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254452+1</f>
        <v>254453</v>
      </c>
      <c r="G521" s="18">
        <v>116522</v>
      </c>
      <c r="H521" s="18">
        <f>1370+12222</f>
        <v>13592</v>
      </c>
      <c r="I521" s="18">
        <v>656</v>
      </c>
      <c r="J521" s="18">
        <v>227</v>
      </c>
      <c r="K521" s="18">
        <v>39</v>
      </c>
      <c r="L521" s="88">
        <f>SUM(F521:K521)</f>
        <v>385489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395699</v>
      </c>
      <c r="G522" s="18">
        <v>206377</v>
      </c>
      <c r="H522" s="18">
        <f>30525+229498</f>
        <v>260023</v>
      </c>
      <c r="I522" s="18">
        <v>5337</v>
      </c>
      <c r="J522" s="18">
        <v>878</v>
      </c>
      <c r="K522" s="18">
        <v>48</v>
      </c>
      <c r="L522" s="88">
        <f>SUM(F522:K522)</f>
        <v>868362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342037</v>
      </c>
      <c r="G523" s="18">
        <v>193046</v>
      </c>
      <c r="H523" s="18">
        <f>212803+284375</f>
        <v>497178</v>
      </c>
      <c r="I523" s="18">
        <v>1940</v>
      </c>
      <c r="J523" s="18"/>
      <c r="K523" s="18">
        <v>39</v>
      </c>
      <c r="L523" s="88">
        <f>SUM(F523:K523)</f>
        <v>1034240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992189</v>
      </c>
      <c r="G524" s="108">
        <f t="shared" ref="G524:L524" si="36">SUM(G521:G523)</f>
        <v>515945</v>
      </c>
      <c r="H524" s="108">
        <f t="shared" si="36"/>
        <v>770793</v>
      </c>
      <c r="I524" s="108">
        <f t="shared" si="36"/>
        <v>7933</v>
      </c>
      <c r="J524" s="108">
        <f t="shared" si="36"/>
        <v>1105</v>
      </c>
      <c r="K524" s="108">
        <f t="shared" si="36"/>
        <v>126</v>
      </c>
      <c r="L524" s="89">
        <f t="shared" si="36"/>
        <v>2288091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157634</v>
      </c>
      <c r="I526" s="18">
        <v>53</v>
      </c>
      <c r="J526" s="18"/>
      <c r="K526" s="18"/>
      <c r="L526" s="88">
        <f>SUM(F526:K526)</f>
        <v>157687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f>118566</f>
        <v>118566</v>
      </c>
      <c r="I527" s="18">
        <v>991</v>
      </c>
      <c r="J527" s="18"/>
      <c r="K527" s="18"/>
      <c r="L527" s="88">
        <f>SUM(F527:K527)</f>
        <v>119557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78856</v>
      </c>
      <c r="I528" s="18"/>
      <c r="J528" s="18"/>
      <c r="K528" s="18"/>
      <c r="L528" s="88">
        <f>SUM(F528:K528)</f>
        <v>78856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355056</v>
      </c>
      <c r="I529" s="89">
        <f t="shared" si="37"/>
        <v>1044</v>
      </c>
      <c r="J529" s="89">
        <f t="shared" si="37"/>
        <v>0</v>
      </c>
      <c r="K529" s="89">
        <f t="shared" si="37"/>
        <v>0</v>
      </c>
      <c r="L529" s="89">
        <f t="shared" si="37"/>
        <v>356100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44062</v>
      </c>
      <c r="I531" s="18"/>
      <c r="J531" s="18"/>
      <c r="K531" s="18"/>
      <c r="L531" s="88">
        <f>SUM(F531:K531)</f>
        <v>44062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54011</v>
      </c>
      <c r="I532" s="18"/>
      <c r="J532" s="18"/>
      <c r="K532" s="18"/>
      <c r="L532" s="88">
        <f>SUM(F532:K532)</f>
        <v>54011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44061</v>
      </c>
      <c r="I533" s="18"/>
      <c r="J533" s="18"/>
      <c r="K533" s="18"/>
      <c r="L533" s="88">
        <f>SUM(F533:K533)</f>
        <v>44061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142134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142134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f>9937-1</f>
        <v>9936</v>
      </c>
      <c r="G541" s="18">
        <v>5522</v>
      </c>
      <c r="H541" s="18">
        <f>558+2155+5704</f>
        <v>8417</v>
      </c>
      <c r="I541" s="18">
        <v>1197</v>
      </c>
      <c r="J541" s="18"/>
      <c r="K541" s="18">
        <v>55</v>
      </c>
      <c r="L541" s="88">
        <f>SUM(F541:K541)</f>
        <v>25127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8233</v>
      </c>
      <c r="G542" s="18">
        <v>4620</v>
      </c>
      <c r="H542" s="18">
        <f>684+2641+2166</f>
        <v>5491</v>
      </c>
      <c r="I542" s="18">
        <v>1467</v>
      </c>
      <c r="J542" s="18"/>
      <c r="K542" s="18">
        <v>68</v>
      </c>
      <c r="L542" s="88">
        <f>SUM(F542:K542)</f>
        <v>19879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8330</v>
      </c>
      <c r="G543" s="18">
        <v>4754</v>
      </c>
      <c r="H543" s="18">
        <f>558+2155+34761</f>
        <v>37474</v>
      </c>
      <c r="I543" s="18">
        <v>1197</v>
      </c>
      <c r="J543" s="18"/>
      <c r="K543" s="18">
        <v>55</v>
      </c>
      <c r="L543" s="88">
        <f>SUM(F543:K543)</f>
        <v>51810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26499</v>
      </c>
      <c r="G544" s="193">
        <f t="shared" ref="G544:L544" si="40">SUM(G541:G543)</f>
        <v>14896</v>
      </c>
      <c r="H544" s="193">
        <f t="shared" si="40"/>
        <v>51382</v>
      </c>
      <c r="I544" s="193">
        <f t="shared" si="40"/>
        <v>3861</v>
      </c>
      <c r="J544" s="193">
        <f t="shared" si="40"/>
        <v>0</v>
      </c>
      <c r="K544" s="193">
        <f t="shared" si="40"/>
        <v>178</v>
      </c>
      <c r="L544" s="193">
        <f t="shared" si="40"/>
        <v>96816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1018688</v>
      </c>
      <c r="G545" s="89">
        <f t="shared" ref="G545:L545" si="41">G524+G529+G534+G539+G544</f>
        <v>530841</v>
      </c>
      <c r="H545" s="89">
        <f t="shared" si="41"/>
        <v>1319365</v>
      </c>
      <c r="I545" s="89">
        <f t="shared" si="41"/>
        <v>12838</v>
      </c>
      <c r="J545" s="89">
        <f t="shared" si="41"/>
        <v>1105</v>
      </c>
      <c r="K545" s="89">
        <f t="shared" si="41"/>
        <v>304</v>
      </c>
      <c r="L545" s="89">
        <f t="shared" si="41"/>
        <v>2883141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385489</v>
      </c>
      <c r="G549" s="87">
        <f>L526</f>
        <v>157687</v>
      </c>
      <c r="H549" s="87">
        <f>L531</f>
        <v>44062</v>
      </c>
      <c r="I549" s="87">
        <f>L536</f>
        <v>0</v>
      </c>
      <c r="J549" s="87">
        <f>L541</f>
        <v>25127</v>
      </c>
      <c r="K549" s="87">
        <f>SUM(F549:J549)</f>
        <v>612365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868362</v>
      </c>
      <c r="G550" s="87">
        <f>L527</f>
        <v>119557</v>
      </c>
      <c r="H550" s="87">
        <f>L532</f>
        <v>54011</v>
      </c>
      <c r="I550" s="87">
        <f>L537</f>
        <v>0</v>
      </c>
      <c r="J550" s="87">
        <f>L542</f>
        <v>19879</v>
      </c>
      <c r="K550" s="87">
        <f>SUM(F550:J550)</f>
        <v>1061809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1034240</v>
      </c>
      <c r="G551" s="87">
        <f>L528</f>
        <v>78856</v>
      </c>
      <c r="H551" s="87">
        <f>L533</f>
        <v>44061</v>
      </c>
      <c r="I551" s="87">
        <f>L538</f>
        <v>0</v>
      </c>
      <c r="J551" s="87">
        <f>L543</f>
        <v>51810</v>
      </c>
      <c r="K551" s="87">
        <f>SUM(F551:J551)</f>
        <v>1208967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2288091</v>
      </c>
      <c r="G552" s="89">
        <f t="shared" si="42"/>
        <v>356100</v>
      </c>
      <c r="H552" s="89">
        <f t="shared" si="42"/>
        <v>142134</v>
      </c>
      <c r="I552" s="89">
        <f t="shared" si="42"/>
        <v>0</v>
      </c>
      <c r="J552" s="89">
        <f t="shared" si="42"/>
        <v>96816</v>
      </c>
      <c r="K552" s="89">
        <f t="shared" si="42"/>
        <v>2883141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f>22860-1</f>
        <v>22859</v>
      </c>
      <c r="G562" s="18">
        <v>8413</v>
      </c>
      <c r="H562" s="18"/>
      <c r="I562" s="18"/>
      <c r="J562" s="18"/>
      <c r="K562" s="18"/>
      <c r="L562" s="88">
        <f>SUM(F562:K562)</f>
        <v>31272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22860</v>
      </c>
      <c r="G563" s="18">
        <v>8413</v>
      </c>
      <c r="H563" s="18"/>
      <c r="I563" s="18"/>
      <c r="J563" s="18"/>
      <c r="K563" s="18"/>
      <c r="L563" s="88">
        <f>SUM(F563:K563)</f>
        <v>31273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11430</v>
      </c>
      <c r="G564" s="18">
        <v>4207</v>
      </c>
      <c r="H564" s="18"/>
      <c r="I564" s="18"/>
      <c r="J564" s="18"/>
      <c r="K564" s="18"/>
      <c r="L564" s="88">
        <f>SUM(F564:K564)</f>
        <v>15637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57149</v>
      </c>
      <c r="G565" s="89">
        <f t="shared" si="44"/>
        <v>21033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78182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57149</v>
      </c>
      <c r="G571" s="89">
        <f t="shared" ref="G571:L571" si="46">G560+G565+G570</f>
        <v>21033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78182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21293</v>
      </c>
      <c r="G575" s="18"/>
      <c r="H575" s="18">
        <v>19050</v>
      </c>
      <c r="I575" s="87">
        <f>SUM(F575:H575)</f>
        <v>40343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12222</v>
      </c>
      <c r="G579" s="18"/>
      <c r="H579" s="18">
        <v>9525</v>
      </c>
      <c r="I579" s="87">
        <f t="shared" si="47"/>
        <v>21747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11871</v>
      </c>
      <c r="I580" s="87">
        <f t="shared" si="47"/>
        <v>11871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>
        <v>228800</v>
      </c>
      <c r="H582" s="18">
        <v>262978</v>
      </c>
      <c r="I582" s="87">
        <f t="shared" si="47"/>
        <v>491778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358193</v>
      </c>
      <c r="I585" s="87">
        <f t="shared" si="47"/>
        <v>358193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112888</v>
      </c>
      <c r="I591" s="18">
        <v>138322</v>
      </c>
      <c r="J591" s="18">
        <v>112761</v>
      </c>
      <c r="K591" s="104">
        <f t="shared" ref="K591:K597" si="48">SUM(H591:J591)</f>
        <v>363971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25128</v>
      </c>
      <c r="I592" s="18">
        <v>19878</v>
      </c>
      <c r="J592" s="18">
        <v>51810</v>
      </c>
      <c r="K592" s="104">
        <f t="shared" si="48"/>
        <v>96816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21810</v>
      </c>
      <c r="K593" s="104">
        <f t="shared" si="48"/>
        <v>21810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3660</v>
      </c>
      <c r="J594" s="18">
        <v>21331</v>
      </c>
      <c r="K594" s="104">
        <f t="shared" si="48"/>
        <v>24991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1890-1</f>
        <v>1889</v>
      </c>
      <c r="I595" s="18">
        <v>3836</v>
      </c>
      <c r="J595" s="18">
        <v>1020</v>
      </c>
      <c r="K595" s="104">
        <f t="shared" si="48"/>
        <v>6745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>
        <f>14006</f>
        <v>14006</v>
      </c>
      <c r="J597" s="18">
        <f>14006-2</f>
        <v>14004</v>
      </c>
      <c r="K597" s="104">
        <f t="shared" si="48"/>
        <v>28010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139905</v>
      </c>
      <c r="I598" s="108">
        <f>SUM(I591:I597)</f>
        <v>179702</v>
      </c>
      <c r="J598" s="108">
        <f>SUM(J591:J597)</f>
        <v>222736</v>
      </c>
      <c r="K598" s="108">
        <f>SUM(K591:K597)</f>
        <v>542343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16029</v>
      </c>
      <c r="I604" s="18">
        <f>34290-1</f>
        <v>34289</v>
      </c>
      <c r="J604" s="18">
        <v>95871</v>
      </c>
      <c r="K604" s="104">
        <f>SUM(H604:J604)</f>
        <v>146189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16029</v>
      </c>
      <c r="I605" s="108">
        <f>SUM(I602:I604)</f>
        <v>34289</v>
      </c>
      <c r="J605" s="108">
        <f>SUM(J602:J604)</f>
        <v>95871</v>
      </c>
      <c r="K605" s="108">
        <f>SUM(K602:K604)</f>
        <v>146189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14728</v>
      </c>
      <c r="G611" s="18">
        <v>3380</v>
      </c>
      <c r="H611" s="18"/>
      <c r="I611" s="18">
        <v>50</v>
      </c>
      <c r="J611" s="18"/>
      <c r="K611" s="18"/>
      <c r="L611" s="88">
        <f>SUM(F611:K611)</f>
        <v>18158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18843</v>
      </c>
      <c r="G612" s="18">
        <v>4204</v>
      </c>
      <c r="H612" s="18">
        <v>2153</v>
      </c>
      <c r="I612" s="18"/>
      <c r="J612" s="18"/>
      <c r="K612" s="18"/>
      <c r="L612" s="88">
        <f>SUM(F612:K612)</f>
        <v>25200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12266</v>
      </c>
      <c r="G613" s="18">
        <v>2725</v>
      </c>
      <c r="H613" s="18">
        <v>5381</v>
      </c>
      <c r="I613" s="18"/>
      <c r="J613" s="18"/>
      <c r="K613" s="18"/>
      <c r="L613" s="88">
        <f>SUM(F613:K613)</f>
        <v>20372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45837</v>
      </c>
      <c r="G614" s="108">
        <f t="shared" si="49"/>
        <v>10309</v>
      </c>
      <c r="H614" s="108">
        <f t="shared" si="49"/>
        <v>7534</v>
      </c>
      <c r="I614" s="108">
        <f t="shared" si="49"/>
        <v>50</v>
      </c>
      <c r="J614" s="108">
        <f t="shared" si="49"/>
        <v>0</v>
      </c>
      <c r="K614" s="108">
        <f t="shared" si="49"/>
        <v>0</v>
      </c>
      <c r="L614" s="89">
        <f t="shared" si="49"/>
        <v>63730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907108</v>
      </c>
      <c r="H617" s="109">
        <f>SUM(F52)</f>
        <v>907108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22379</v>
      </c>
      <c r="H618" s="109">
        <f>SUM(G52)</f>
        <v>22379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116785</v>
      </c>
      <c r="H619" s="109">
        <f>SUM(H52)</f>
        <v>116785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3745115</v>
      </c>
      <c r="H620" s="109">
        <f>SUM(I52)</f>
        <v>3745115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365466</v>
      </c>
      <c r="H621" s="109">
        <f>SUM(J52)</f>
        <v>365466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744316</v>
      </c>
      <c r="H622" s="109">
        <f>F476</f>
        <v>744316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3643839</v>
      </c>
      <c r="H625" s="109">
        <f>I476</f>
        <v>3643839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365466</v>
      </c>
      <c r="H626" s="109">
        <f>J476</f>
        <v>365466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13418922</v>
      </c>
      <c r="H627" s="104">
        <f>SUM(F468)</f>
        <v>13418922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297265</v>
      </c>
      <c r="H628" s="104">
        <f>SUM(G468)</f>
        <v>297265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433380</v>
      </c>
      <c r="H629" s="104">
        <f>SUM(H468)</f>
        <v>433380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3745115</v>
      </c>
      <c r="H630" s="104">
        <f>SUM(I468)</f>
        <v>3745115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2312</v>
      </c>
      <c r="H631" s="104">
        <f>SUM(J468)</f>
        <v>2312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13119886</v>
      </c>
      <c r="H632" s="104">
        <f>SUM(F472)</f>
        <v>13119886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434642</v>
      </c>
      <c r="H633" s="104">
        <f>SUM(H472)</f>
        <v>434642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297265</v>
      </c>
      <c r="H635" s="104">
        <f>SUM(G472)</f>
        <v>297265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101276</v>
      </c>
      <c r="H636" s="104">
        <f>SUM(I472)</f>
        <v>101276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2312</v>
      </c>
      <c r="H637" s="164">
        <f>SUM(J468)</f>
        <v>2312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365466</v>
      </c>
      <c r="H640" s="104">
        <f>SUM(G461)</f>
        <v>365466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365466</v>
      </c>
      <c r="H642" s="104">
        <f>SUM(I461)</f>
        <v>365466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2312</v>
      </c>
      <c r="H644" s="104">
        <f>H408</f>
        <v>2312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2312</v>
      </c>
      <c r="H646" s="104">
        <f>L408</f>
        <v>2312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542343</v>
      </c>
      <c r="H647" s="104">
        <f>L208+L226+L244</f>
        <v>542343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146189</v>
      </c>
      <c r="H648" s="104">
        <f>(J257+J338)-(J255+J336)</f>
        <v>146189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139905</v>
      </c>
      <c r="H649" s="104">
        <f>H598</f>
        <v>139905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179702</v>
      </c>
      <c r="H650" s="104">
        <f>I598</f>
        <v>179702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222736</v>
      </c>
      <c r="H651" s="104">
        <f>J598</f>
        <v>222736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48574</v>
      </c>
      <c r="H652" s="104">
        <f>K263+K345</f>
        <v>48574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3389846</v>
      </c>
      <c r="G660" s="19">
        <f>(L229+L309+L359)</f>
        <v>4814441</v>
      </c>
      <c r="H660" s="19">
        <f>(L247+L328+L360)</f>
        <v>5098181</v>
      </c>
      <c r="I660" s="19">
        <f>SUM(F660:H660)</f>
        <v>13302468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24788.31616571073</v>
      </c>
      <c r="G661" s="19">
        <f>(L359/IF(SUM(L358:L360)=0,1,SUM(L358:L360))*(SUM(G97:G110)))</f>
        <v>35347.464117874624</v>
      </c>
      <c r="H661" s="19">
        <f>(L360/IF(SUM(L358:L360)=0,1,SUM(L358:L360))*(SUM(G97:G110)))</f>
        <v>28223.219716414649</v>
      </c>
      <c r="I661" s="19">
        <f>SUM(F661:H661)</f>
        <v>88359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139905</v>
      </c>
      <c r="G662" s="19">
        <f>(L226+L306)-(J226+J306)</f>
        <v>179702</v>
      </c>
      <c r="H662" s="19">
        <f>(L244+L325)-(J244+J325)</f>
        <v>223691</v>
      </c>
      <c r="I662" s="19">
        <f>SUM(F662:H662)</f>
        <v>543298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67702</v>
      </c>
      <c r="G663" s="199">
        <f>SUM(G575:G587)+SUM(I602:I604)+L612</f>
        <v>288289</v>
      </c>
      <c r="H663" s="199">
        <f>SUM(H575:H587)+SUM(J602:J604)+L613</f>
        <v>777860</v>
      </c>
      <c r="I663" s="19">
        <f>SUM(F663:H663)</f>
        <v>1133851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3157450.6838342892</v>
      </c>
      <c r="G664" s="19">
        <f>G660-SUM(G661:G663)</f>
        <v>4311102.5358821256</v>
      </c>
      <c r="H664" s="19">
        <f>H660-SUM(H661:H663)</f>
        <v>4068406.7802835852</v>
      </c>
      <c r="I664" s="19">
        <f>I660-SUM(I661:I663)</f>
        <v>11536960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213.59</v>
      </c>
      <c r="G665" s="248">
        <v>245.59</v>
      </c>
      <c r="H665" s="248">
        <v>197.03</v>
      </c>
      <c r="I665" s="19">
        <f>SUM(F665:H665)</f>
        <v>656.21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14782.76</v>
      </c>
      <c r="G667" s="19">
        <f>ROUND(G664/G665,2)</f>
        <v>17554.060000000001</v>
      </c>
      <c r="H667" s="19">
        <f>ROUND(H664/H665,2)</f>
        <v>20648.669999999998</v>
      </c>
      <c r="I667" s="19">
        <f>ROUND(I664/I665,2)</f>
        <v>17581.2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-12.78</v>
      </c>
      <c r="I670" s="19">
        <f>SUM(F670:H670)</f>
        <v>-12.78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14782.76</v>
      </c>
      <c r="G672" s="19">
        <f>ROUND((G664+G669)/(G665+G670),2)</f>
        <v>17554.060000000001</v>
      </c>
      <c r="H672" s="19">
        <f>ROUND((H664+H669)/(H665+H670),2)</f>
        <v>22080.91</v>
      </c>
      <c r="I672" s="19">
        <f>ROUND((I664+I669)/(I665+I670),2)</f>
        <v>17930.400000000001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HAVERHILL COOPERATIVE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9" t="s">
        <v>778</v>
      </c>
      <c r="B3" s="279"/>
      <c r="C3" s="279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777</v>
      </c>
      <c r="C6" s="278"/>
    </row>
    <row r="7" spans="1:3" x14ac:dyDescent="0.2">
      <c r="A7" s="239" t="s">
        <v>780</v>
      </c>
      <c r="B7" s="276" t="s">
        <v>776</v>
      </c>
      <c r="C7" s="277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3030731</v>
      </c>
      <c r="C9" s="229">
        <f>'DOE25'!G197+'DOE25'!G215+'DOE25'!G233+'DOE25'!G276+'DOE25'!G295+'DOE25'!G314</f>
        <v>1538213</v>
      </c>
    </row>
    <row r="10" spans="1:3" x14ac:dyDescent="0.2">
      <c r="A10" t="s">
        <v>773</v>
      </c>
      <c r="B10" s="240">
        <v>2920570</v>
      </c>
      <c r="C10" s="240">
        <v>1529786</v>
      </c>
    </row>
    <row r="11" spans="1:3" x14ac:dyDescent="0.2">
      <c r="A11" t="s">
        <v>774</v>
      </c>
      <c r="B11" s="240">
        <v>4764</v>
      </c>
      <c r="C11" s="240">
        <v>364</v>
      </c>
    </row>
    <row r="12" spans="1:3" x14ac:dyDescent="0.2">
      <c r="A12" t="s">
        <v>775</v>
      </c>
      <c r="B12" s="240">
        <v>105397</v>
      </c>
      <c r="C12" s="240">
        <v>8063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3030731</v>
      </c>
      <c r="C13" s="231">
        <f>SUM(C10:C12)</f>
        <v>1538213</v>
      </c>
    </row>
    <row r="14" spans="1:3" x14ac:dyDescent="0.2">
      <c r="B14" s="230"/>
      <c r="C14" s="230"/>
    </row>
    <row r="15" spans="1:3" x14ac:dyDescent="0.2">
      <c r="B15" s="278" t="s">
        <v>777</v>
      </c>
      <c r="C15" s="278"/>
    </row>
    <row r="16" spans="1:3" x14ac:dyDescent="0.2">
      <c r="A16" s="239" t="s">
        <v>781</v>
      </c>
      <c r="B16" s="276" t="s">
        <v>701</v>
      </c>
      <c r="C16" s="277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1143673</v>
      </c>
      <c r="C18" s="229">
        <f>'DOE25'!G198+'DOE25'!G216+'DOE25'!G234+'DOE25'!G277+'DOE25'!G296+'DOE25'!G315</f>
        <v>580049</v>
      </c>
    </row>
    <row r="19" spans="1:3" x14ac:dyDescent="0.2">
      <c r="A19" t="s">
        <v>773</v>
      </c>
      <c r="B19" s="240">
        <v>600000</v>
      </c>
      <c r="C19" s="240">
        <v>293692</v>
      </c>
    </row>
    <row r="20" spans="1:3" x14ac:dyDescent="0.2">
      <c r="A20" t="s">
        <v>774</v>
      </c>
      <c r="B20" s="240">
        <v>533750</v>
      </c>
      <c r="C20" s="240">
        <v>285598</v>
      </c>
    </row>
    <row r="21" spans="1:3" x14ac:dyDescent="0.2">
      <c r="A21" t="s">
        <v>775</v>
      </c>
      <c r="B21" s="240">
        <v>9923</v>
      </c>
      <c r="C21" s="240">
        <v>759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1143673</v>
      </c>
      <c r="C22" s="231">
        <f>SUM(C19:C21)</f>
        <v>580049</v>
      </c>
    </row>
    <row r="23" spans="1:3" x14ac:dyDescent="0.2">
      <c r="B23" s="230"/>
      <c r="C23" s="230"/>
    </row>
    <row r="24" spans="1:3" x14ac:dyDescent="0.2">
      <c r="B24" s="278" t="s">
        <v>777</v>
      </c>
      <c r="C24" s="278"/>
    </row>
    <row r="25" spans="1:3" x14ac:dyDescent="0.2">
      <c r="A25" s="239" t="s">
        <v>782</v>
      </c>
      <c r="B25" s="276" t="s">
        <v>702</v>
      </c>
      <c r="C25" s="277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777</v>
      </c>
      <c r="C33" s="278"/>
    </row>
    <row r="34" spans="1:3" x14ac:dyDescent="0.2">
      <c r="A34" s="239" t="s">
        <v>783</v>
      </c>
      <c r="B34" s="276" t="s">
        <v>703</v>
      </c>
      <c r="C34" s="277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208479</v>
      </c>
      <c r="C36" s="235">
        <f>'DOE25'!G200+'DOE25'!G218+'DOE25'!G236+'DOE25'!G279+'DOE25'!G298+'DOE25'!G317</f>
        <v>35775</v>
      </c>
    </row>
    <row r="37" spans="1:3" x14ac:dyDescent="0.2">
      <c r="A37" t="s">
        <v>773</v>
      </c>
      <c r="B37" s="240">
        <v>42445</v>
      </c>
      <c r="C37" s="240">
        <v>18599</v>
      </c>
    </row>
    <row r="38" spans="1:3" x14ac:dyDescent="0.2">
      <c r="A38" t="s">
        <v>774</v>
      </c>
      <c r="B38" s="240">
        <v>39323</v>
      </c>
      <c r="C38" s="240">
        <v>7483</v>
      </c>
    </row>
    <row r="39" spans="1:3" x14ac:dyDescent="0.2">
      <c r="A39" t="s">
        <v>775</v>
      </c>
      <c r="B39" s="240">
        <v>126711</v>
      </c>
      <c r="C39" s="240">
        <v>9693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208479</v>
      </c>
      <c r="C40" s="231">
        <f>SUM(C37:C39)</f>
        <v>35775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711</v>
      </c>
      <c r="B2" s="265" t="str">
        <f>'DOE25'!A2</f>
        <v>HAVERHILL COOPERATIVE SCHOOL DISTRICT</v>
      </c>
      <c r="C2" s="181"/>
      <c r="D2" s="181" t="s">
        <v>786</v>
      </c>
      <c r="E2" s="181" t="s">
        <v>788</v>
      </c>
      <c r="F2" s="280" t="s">
        <v>815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7802232</v>
      </c>
      <c r="D5" s="20">
        <f>SUM('DOE25'!L197:L200)+SUM('DOE25'!L215:L218)+SUM('DOE25'!L233:L236)-F5-G5</f>
        <v>7771381</v>
      </c>
      <c r="E5" s="243"/>
      <c r="F5" s="255">
        <f>SUM('DOE25'!J197:J200)+SUM('DOE25'!J215:J218)+SUM('DOE25'!J233:J236)</f>
        <v>16593</v>
      </c>
      <c r="G5" s="53">
        <f>SUM('DOE25'!K197:K200)+SUM('DOE25'!K215:K218)+SUM('DOE25'!K233:K236)</f>
        <v>14258</v>
      </c>
      <c r="H5" s="259"/>
    </row>
    <row r="6" spans="1:9" x14ac:dyDescent="0.2">
      <c r="A6" s="32">
        <v>2100</v>
      </c>
      <c r="B6" t="s">
        <v>795</v>
      </c>
      <c r="C6" s="245">
        <f t="shared" si="0"/>
        <v>1037889</v>
      </c>
      <c r="D6" s="20">
        <f>'DOE25'!L202+'DOE25'!L220+'DOE25'!L238-F6-G6</f>
        <v>1035973</v>
      </c>
      <c r="E6" s="243"/>
      <c r="F6" s="255">
        <f>'DOE25'!J202+'DOE25'!J220+'DOE25'!J238</f>
        <v>776</v>
      </c>
      <c r="G6" s="53">
        <f>'DOE25'!K202+'DOE25'!K220+'DOE25'!K238</f>
        <v>1140</v>
      </c>
      <c r="H6" s="259"/>
    </row>
    <row r="7" spans="1:9" x14ac:dyDescent="0.2">
      <c r="A7" s="32">
        <v>2200</v>
      </c>
      <c r="B7" t="s">
        <v>828</v>
      </c>
      <c r="C7" s="245">
        <f t="shared" si="0"/>
        <v>312597</v>
      </c>
      <c r="D7" s="20">
        <f>'DOE25'!L203+'DOE25'!L221+'DOE25'!L239-F7-G7</f>
        <v>263194</v>
      </c>
      <c r="E7" s="243"/>
      <c r="F7" s="255">
        <f>'DOE25'!J203+'DOE25'!J221+'DOE25'!J239</f>
        <v>49403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619986</v>
      </c>
      <c r="D8" s="243"/>
      <c r="E8" s="20">
        <f>'DOE25'!L204+'DOE25'!L222+'DOE25'!L240-F8-G8-D9-D11</f>
        <v>616218</v>
      </c>
      <c r="F8" s="255">
        <f>'DOE25'!J204+'DOE25'!J222+'DOE25'!J240</f>
        <v>0</v>
      </c>
      <c r="G8" s="53">
        <f>'DOE25'!K204+'DOE25'!K222+'DOE25'!K240</f>
        <v>3768</v>
      </c>
      <c r="H8" s="259"/>
    </row>
    <row r="9" spans="1:9" x14ac:dyDescent="0.2">
      <c r="A9" s="32">
        <v>2310</v>
      </c>
      <c r="B9" t="s">
        <v>812</v>
      </c>
      <c r="C9" s="245">
        <f t="shared" si="0"/>
        <v>33289</v>
      </c>
      <c r="D9" s="244">
        <v>33289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15000</v>
      </c>
      <c r="D10" s="243"/>
      <c r="E10" s="244">
        <v>15000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148159</v>
      </c>
      <c r="D11" s="244">
        <v>148159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922594</v>
      </c>
      <c r="D12" s="20">
        <f>'DOE25'!L205+'DOE25'!L223+'DOE25'!L241-F12-G12</f>
        <v>918012</v>
      </c>
      <c r="E12" s="243"/>
      <c r="F12" s="255">
        <f>'DOE25'!J205+'DOE25'!J223+'DOE25'!J241</f>
        <v>1350</v>
      </c>
      <c r="G12" s="53">
        <f>'DOE25'!K205+'DOE25'!K223+'DOE25'!K241</f>
        <v>3232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1059909</v>
      </c>
      <c r="D14" s="20">
        <f>'DOE25'!L207+'DOE25'!L225+'DOE25'!L243-F14-G14</f>
        <v>1028183</v>
      </c>
      <c r="E14" s="243"/>
      <c r="F14" s="255">
        <f>'DOE25'!J207+'DOE25'!J225+'DOE25'!J243</f>
        <v>30630</v>
      </c>
      <c r="G14" s="53">
        <f>'DOE25'!K207+'DOE25'!K225+'DOE25'!K243</f>
        <v>1096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542343</v>
      </c>
      <c r="D15" s="20">
        <f>'DOE25'!L208+'DOE25'!L226+'DOE25'!L244-F15-G15</f>
        <v>542166</v>
      </c>
      <c r="E15" s="243"/>
      <c r="F15" s="255">
        <f>'DOE25'!J208+'DOE25'!J226+'DOE25'!J244</f>
        <v>0</v>
      </c>
      <c r="G15" s="53">
        <f>'DOE25'!K208+'DOE25'!K226+'DOE25'!K244</f>
        <v>177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91563</v>
      </c>
      <c r="D16" s="243"/>
      <c r="E16" s="20">
        <f>'DOE25'!L209+'DOE25'!L227+'DOE25'!L245-F16-G16</f>
        <v>50966</v>
      </c>
      <c r="F16" s="255">
        <f>'DOE25'!J209+'DOE25'!J227+'DOE25'!J245</f>
        <v>40597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17082</v>
      </c>
      <c r="D19" s="20">
        <f>'DOE25'!L253-F19-G19</f>
        <v>17082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374196</v>
      </c>
      <c r="D25" s="243"/>
      <c r="E25" s="243"/>
      <c r="F25" s="258"/>
      <c r="G25" s="256"/>
      <c r="H25" s="257">
        <f>'DOE25'!L260+'DOE25'!L261+'DOE25'!L341+'DOE25'!L342</f>
        <v>374196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297265</v>
      </c>
      <c r="D29" s="20">
        <f>'DOE25'!L358+'DOE25'!L359+'DOE25'!L360-'DOE25'!I367-F29-G29</f>
        <v>274995</v>
      </c>
      <c r="E29" s="243"/>
      <c r="F29" s="255">
        <f>'DOE25'!J358+'DOE25'!J359+'DOE25'!J360</f>
        <v>22270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434642</v>
      </c>
      <c r="D31" s="20">
        <f>'DOE25'!L290+'DOE25'!L309+'DOE25'!L328+'DOE25'!L333+'DOE25'!L334+'DOE25'!L335-F31-G31</f>
        <v>418072</v>
      </c>
      <c r="E31" s="243"/>
      <c r="F31" s="255">
        <f>'DOE25'!J290+'DOE25'!J309+'DOE25'!J328+'DOE25'!J333+'DOE25'!J334+'DOE25'!J335</f>
        <v>6840</v>
      </c>
      <c r="G31" s="53">
        <f>'DOE25'!K290+'DOE25'!K309+'DOE25'!K328+'DOE25'!K333+'DOE25'!K334+'DOE25'!K335</f>
        <v>9730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12450506</v>
      </c>
      <c r="E33" s="246">
        <f>SUM(E5:E31)</f>
        <v>682184</v>
      </c>
      <c r="F33" s="246">
        <f>SUM(F5:F31)</f>
        <v>168459</v>
      </c>
      <c r="G33" s="246">
        <f>SUM(G5:G31)</f>
        <v>33401</v>
      </c>
      <c r="H33" s="246">
        <f>SUM(H5:H31)</f>
        <v>374196</v>
      </c>
    </row>
    <row r="35" spans="2:8" ht="12" thickBot="1" x14ac:dyDescent="0.25">
      <c r="B35" s="253" t="s">
        <v>841</v>
      </c>
      <c r="D35" s="254">
        <f>E33</f>
        <v>682184</v>
      </c>
      <c r="E35" s="249"/>
    </row>
    <row r="36" spans="2:8" ht="12" thickTop="1" x14ac:dyDescent="0.2">
      <c r="B36" t="s">
        <v>809</v>
      </c>
      <c r="D36" s="20">
        <f>D33</f>
        <v>12450506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HAVERHILL COOPERATIVE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487952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3745115</v>
      </c>
      <c r="G9" s="95">
        <f>'DOE25'!J10</f>
        <v>365466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183936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226249</v>
      </c>
      <c r="D12" s="95">
        <f>'DOE25'!G13</f>
        <v>22379</v>
      </c>
      <c r="E12" s="95">
        <f>'DOE25'!H13</f>
        <v>116785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1016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7955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907108</v>
      </c>
      <c r="D18" s="41">
        <f>SUM(D8:D17)</f>
        <v>22379</v>
      </c>
      <c r="E18" s="41">
        <f>SUM(E8:E17)</f>
        <v>116785</v>
      </c>
      <c r="F18" s="41">
        <f>SUM(F8:F17)</f>
        <v>3745115</v>
      </c>
      <c r="G18" s="41">
        <f>SUM(G8:G17)</f>
        <v>365466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22379</v>
      </c>
      <c r="E21" s="95">
        <f>'DOE25'!H22</f>
        <v>60281</v>
      </c>
      <c r="F21" s="95">
        <f>'DOE25'!I22</f>
        <v>101276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159894</v>
      </c>
      <c r="D23" s="95">
        <f>'DOE25'!G24</f>
        <v>0</v>
      </c>
      <c r="E23" s="95">
        <f>'DOE25'!H24</f>
        <v>8474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2898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48030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162792</v>
      </c>
      <c r="D31" s="41">
        <f>SUM(D21:D30)</f>
        <v>22379</v>
      </c>
      <c r="E31" s="41">
        <f>SUM(E21:E30)</f>
        <v>116785</v>
      </c>
      <c r="F31" s="41">
        <f>SUM(F21:F30)</f>
        <v>101276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7955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3640178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188293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3661</v>
      </c>
      <c r="G47" s="95">
        <f>'DOE25'!J48</f>
        <v>365466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448068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744316</v>
      </c>
      <c r="D50" s="41">
        <f>SUM(D34:D49)</f>
        <v>0</v>
      </c>
      <c r="E50" s="41">
        <f>SUM(E34:E49)</f>
        <v>0</v>
      </c>
      <c r="F50" s="41">
        <f>SUM(F34:F49)</f>
        <v>3643839</v>
      </c>
      <c r="G50" s="41">
        <f>SUM(G34:G49)</f>
        <v>365466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907108</v>
      </c>
      <c r="D51" s="41">
        <f>D50+D31</f>
        <v>22379</v>
      </c>
      <c r="E51" s="41">
        <f>E50+E31</f>
        <v>116785</v>
      </c>
      <c r="F51" s="41">
        <f>F50+F31</f>
        <v>3745115</v>
      </c>
      <c r="G51" s="41">
        <f>G50+G31</f>
        <v>365466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6820466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1005573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46811</v>
      </c>
      <c r="D59" s="95">
        <f>'DOE25'!G96</f>
        <v>0</v>
      </c>
      <c r="E59" s="95">
        <f>'DOE25'!H96</f>
        <v>0</v>
      </c>
      <c r="F59" s="95">
        <f>'DOE25'!I96</f>
        <v>3661</v>
      </c>
      <c r="G59" s="95">
        <f>'DOE25'!J96</f>
        <v>2312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80329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77835</v>
      </c>
      <c r="D61" s="95">
        <f>SUM('DOE25'!G98:G110)</f>
        <v>8030</v>
      </c>
      <c r="E61" s="95">
        <f>SUM('DOE25'!H98:H110)</f>
        <v>38041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1130219</v>
      </c>
      <c r="D62" s="130">
        <f>SUM(D57:D61)</f>
        <v>88359</v>
      </c>
      <c r="E62" s="130">
        <f>SUM(E57:E61)</f>
        <v>38041</v>
      </c>
      <c r="F62" s="130">
        <f>SUM(F57:F61)</f>
        <v>3661</v>
      </c>
      <c r="G62" s="130">
        <f>SUM(G57:G61)</f>
        <v>2312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7950685</v>
      </c>
      <c r="D63" s="22">
        <f>D56+D62</f>
        <v>88359</v>
      </c>
      <c r="E63" s="22">
        <f>E56+E62</f>
        <v>38041</v>
      </c>
      <c r="F63" s="22">
        <f>F56+F62</f>
        <v>3661</v>
      </c>
      <c r="G63" s="22">
        <f>G56+G62</f>
        <v>2312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3869792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711257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4877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4585926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191672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236332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155443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3279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583447</v>
      </c>
      <c r="D78" s="130">
        <f>SUM(D72:D77)</f>
        <v>3279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5169373</v>
      </c>
      <c r="D81" s="130">
        <f>SUM(D79:D80)+D78+D70</f>
        <v>3279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297408</v>
      </c>
      <c r="D88" s="95">
        <f>SUM('DOE25'!G153:G161)</f>
        <v>157053</v>
      </c>
      <c r="E88" s="95">
        <f>SUM('DOE25'!H153:H161)</f>
        <v>395339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1456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298864</v>
      </c>
      <c r="D91" s="131">
        <f>SUM(D85:D90)</f>
        <v>157053</v>
      </c>
      <c r="E91" s="131">
        <f>SUM(E85:E90)</f>
        <v>395339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3741454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48574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48574</v>
      </c>
      <c r="E103" s="86">
        <f>SUM(E93:E102)</f>
        <v>0</v>
      </c>
      <c r="F103" s="86">
        <f>SUM(F93:F102)</f>
        <v>3741454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13418922</v>
      </c>
      <c r="D104" s="86">
        <f>D63+D81+D91+D103</f>
        <v>297265</v>
      </c>
      <c r="E104" s="86">
        <f>E63+E81+E91+E103</f>
        <v>433380</v>
      </c>
      <c r="F104" s="86">
        <f>F63+F81+F91+F103</f>
        <v>3745115</v>
      </c>
      <c r="G104" s="86">
        <f>G63+G81+G103</f>
        <v>2312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4623620</v>
      </c>
      <c r="D109" s="24" t="s">
        <v>286</v>
      </c>
      <c r="E109" s="95">
        <f>('DOE25'!L276)+('DOE25'!L295)+('DOE25'!L314)</f>
        <v>256279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2504858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378193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295561</v>
      </c>
      <c r="D112" s="24" t="s">
        <v>286</v>
      </c>
      <c r="E112" s="95">
        <f>+('DOE25'!L279)+('DOE25'!L298)+('DOE25'!L317)</f>
        <v>17014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98482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17082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7917796</v>
      </c>
      <c r="D115" s="86">
        <f>SUM(D109:D114)</f>
        <v>0</v>
      </c>
      <c r="E115" s="86">
        <f>SUM(E109:E114)</f>
        <v>273293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1037889</v>
      </c>
      <c r="D118" s="24" t="s">
        <v>286</v>
      </c>
      <c r="E118" s="95">
        <f>+('DOE25'!L281)+('DOE25'!L300)+('DOE25'!L319)</f>
        <v>12327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312597</v>
      </c>
      <c r="D119" s="24" t="s">
        <v>286</v>
      </c>
      <c r="E119" s="95">
        <f>+('DOE25'!L282)+('DOE25'!L301)+('DOE25'!L320)</f>
        <v>77308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801434</v>
      </c>
      <c r="D120" s="24" t="s">
        <v>286</v>
      </c>
      <c r="E120" s="95">
        <f>+('DOE25'!L283)+('DOE25'!L302)+('DOE25'!L321)</f>
        <v>6214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922594</v>
      </c>
      <c r="D121" s="24" t="s">
        <v>286</v>
      </c>
      <c r="E121" s="95">
        <f>+('DOE25'!L284)+('DOE25'!L303)+('DOE25'!L322)</f>
        <v>63715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1059909</v>
      </c>
      <c r="D123" s="24" t="s">
        <v>286</v>
      </c>
      <c r="E123" s="95">
        <f>+('DOE25'!L286)+('DOE25'!L305)+('DOE25'!L324)</f>
        <v>830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542343</v>
      </c>
      <c r="D124" s="24" t="s">
        <v>286</v>
      </c>
      <c r="E124" s="95">
        <f>+('DOE25'!L287)+('DOE25'!L306)+('DOE25'!L325)</f>
        <v>955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91563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297265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4768329</v>
      </c>
      <c r="D128" s="86">
        <f>SUM(D118:D127)</f>
        <v>297265</v>
      </c>
      <c r="E128" s="86">
        <f>SUM(E118:E127)</f>
        <v>161349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101276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364481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9715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48574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151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2161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-2312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10991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433761</v>
      </c>
      <c r="D144" s="141">
        <f>SUM(D130:D143)</f>
        <v>0</v>
      </c>
      <c r="E144" s="141">
        <f>SUM(E130:E143)</f>
        <v>0</v>
      </c>
      <c r="F144" s="141">
        <f>SUM(F130:F143)</f>
        <v>101276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13119886</v>
      </c>
      <c r="D145" s="86">
        <f>(D115+D128+D144)</f>
        <v>297265</v>
      </c>
      <c r="E145" s="86">
        <f>(E115+E128+E144)</f>
        <v>434642</v>
      </c>
      <c r="F145" s="86">
        <f>(F115+F128+F144)</f>
        <v>101276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15</v>
      </c>
      <c r="D151" s="153">
        <f>'DOE25'!H490</f>
        <v>10</v>
      </c>
      <c r="E151" s="153">
        <f>'DOE25'!I490</f>
        <v>14</v>
      </c>
      <c r="F151" s="153">
        <f>'DOE25'!J490</f>
        <v>20</v>
      </c>
      <c r="G151" s="24" t="s">
        <v>286</v>
      </c>
    </row>
    <row r="152" spans="1:9" x14ac:dyDescent="0.2">
      <c r="A152" s="136" t="s">
        <v>28</v>
      </c>
      <c r="B152" s="152" t="str">
        <f>'DOE25'!F491</f>
        <v>8/21/03</v>
      </c>
      <c r="C152" s="152" t="str">
        <f>'DOE25'!G491</f>
        <v>7/6/2005</v>
      </c>
      <c r="D152" s="152" t="str">
        <f>'DOE25'!H491</f>
        <v>3/2/2009</v>
      </c>
      <c r="E152" s="152" t="str">
        <f>'DOE25'!I491</f>
        <v>11/2008</v>
      </c>
      <c r="F152" s="152" t="str">
        <f>'DOE25'!J491</f>
        <v>6/2018</v>
      </c>
      <c r="G152" s="24" t="s">
        <v>286</v>
      </c>
    </row>
    <row r="153" spans="1:9" x14ac:dyDescent="0.2">
      <c r="A153" s="136" t="s">
        <v>29</v>
      </c>
      <c r="B153" s="152" t="str">
        <f>'DOE25'!F492</f>
        <v>8/21/18</v>
      </c>
      <c r="C153" s="152" t="str">
        <f>'DOE25'!G492</f>
        <v>7/5/2021</v>
      </c>
      <c r="D153" s="152" t="str">
        <f>'DOE25'!H492</f>
        <v>3/1/2019</v>
      </c>
      <c r="E153" s="152" t="str">
        <f>'DOE25'!I492</f>
        <v>11/2022</v>
      </c>
      <c r="F153" s="152" t="str">
        <f>'DOE25'!J492</f>
        <v>8/2038</v>
      </c>
      <c r="G153" s="24" t="s">
        <v>286</v>
      </c>
    </row>
    <row r="154" spans="1:9" x14ac:dyDescent="0.2">
      <c r="A154" s="136" t="s">
        <v>30</v>
      </c>
      <c r="B154" s="137">
        <f>'DOE25'!F493</f>
        <v>500000</v>
      </c>
      <c r="C154" s="137">
        <f>'DOE25'!G493</f>
        <v>1694000</v>
      </c>
      <c r="D154" s="137">
        <f>'DOE25'!H493</f>
        <v>605000</v>
      </c>
      <c r="E154" s="137">
        <f>'DOE25'!I493</f>
        <v>1498000</v>
      </c>
      <c r="F154" s="137">
        <f>'DOE25'!J493</f>
        <v>3541950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4.5</v>
      </c>
      <c r="E155" s="137">
        <f>'DOE25'!I494</f>
        <v>0</v>
      </c>
      <c r="F155" s="137">
        <f>'DOE25'!J494</f>
        <v>3.34</v>
      </c>
      <c r="G155" s="24" t="s">
        <v>286</v>
      </c>
    </row>
    <row r="156" spans="1:9" x14ac:dyDescent="0.2">
      <c r="A156" s="22" t="s">
        <v>32</v>
      </c>
      <c r="B156" s="137">
        <f>'DOE25'!F495</f>
        <v>66666.709999999992</v>
      </c>
      <c r="C156" s="137">
        <f>'DOE25'!G495</f>
        <v>494666.7</v>
      </c>
      <c r="D156" s="137">
        <f>'DOE25'!H495</f>
        <v>121000</v>
      </c>
      <c r="E156" s="137">
        <f>'DOE25'!I495</f>
        <v>642000</v>
      </c>
      <c r="F156" s="137">
        <f>'DOE25'!J495</f>
        <v>0</v>
      </c>
      <c r="G156" s="138">
        <f>SUM(B156:F156)</f>
        <v>1324333.4100000001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3541950</v>
      </c>
      <c r="G157" s="138">
        <f t="shared" ref="G157:G164" si="0">SUM(B157:F157)</f>
        <v>3541950</v>
      </c>
    </row>
    <row r="158" spans="1:9" x14ac:dyDescent="0.2">
      <c r="A158" s="22" t="s">
        <v>34</v>
      </c>
      <c r="B158" s="137">
        <f>'DOE25'!F497</f>
        <v>33333.33</v>
      </c>
      <c r="C158" s="137">
        <f>'DOE25'!G497</f>
        <v>112933.33</v>
      </c>
      <c r="D158" s="137">
        <f>'DOE25'!H497</f>
        <v>60500</v>
      </c>
      <c r="E158" s="137">
        <f>'DOE25'!I497</f>
        <v>107000</v>
      </c>
      <c r="F158" s="137">
        <f>'DOE25'!J497</f>
        <v>0</v>
      </c>
      <c r="G158" s="138">
        <f t="shared" si="0"/>
        <v>313766.66000000003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9" sqref="B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7" t="s">
        <v>711</v>
      </c>
      <c r="B2" s="186" t="str">
        <f>'DOE25'!A2</f>
        <v>HAVERHILL COOPERATIVE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14783</v>
      </c>
    </row>
    <row r="5" spans="1:4" x14ac:dyDescent="0.2">
      <c r="B5" t="s">
        <v>698</v>
      </c>
      <c r="C5" s="179">
        <f>IF('DOE25'!G665+'DOE25'!G670=0,0,ROUND('DOE25'!G672,0))</f>
        <v>17554</v>
      </c>
    </row>
    <row r="6" spans="1:4" x14ac:dyDescent="0.2">
      <c r="B6" t="s">
        <v>62</v>
      </c>
      <c r="C6" s="179">
        <f>IF('DOE25'!H665+'DOE25'!H670=0,0,ROUND('DOE25'!H672,0))</f>
        <v>22081</v>
      </c>
    </row>
    <row r="7" spans="1:4" x14ac:dyDescent="0.2">
      <c r="B7" t="s">
        <v>699</v>
      </c>
      <c r="C7" s="179">
        <f>IF('DOE25'!I665+'DOE25'!I670=0,0,ROUND('DOE25'!I672,0))</f>
        <v>17930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4879899</v>
      </c>
      <c r="D10" s="182">
        <f>ROUND((C10/$C$28)*100,1)</f>
        <v>36.6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2504858</v>
      </c>
      <c r="D11" s="182">
        <f>ROUND((C11/$C$28)*100,1)</f>
        <v>18.8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378193</v>
      </c>
      <c r="D12" s="182">
        <f>ROUND((C12/$C$28)*100,1)</f>
        <v>2.8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312575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1050216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389905</v>
      </c>
      <c r="D16" s="182">
        <f t="shared" si="0"/>
        <v>2.9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899211</v>
      </c>
      <c r="D17" s="182">
        <f t="shared" si="0"/>
        <v>6.7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986309</v>
      </c>
      <c r="D18" s="182">
        <f t="shared" si="0"/>
        <v>7.4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1060739</v>
      </c>
      <c r="D20" s="182">
        <f t="shared" si="0"/>
        <v>7.9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543298</v>
      </c>
      <c r="D21" s="182">
        <f t="shared" si="0"/>
        <v>4.0999999999999996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98482</v>
      </c>
      <c r="D23" s="182">
        <f t="shared" si="0"/>
        <v>0.7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17082</v>
      </c>
      <c r="D24" s="182">
        <f t="shared" si="0"/>
        <v>0.1</v>
      </c>
    </row>
    <row r="25" spans="1:4" x14ac:dyDescent="0.2">
      <c r="A25">
        <v>5120</v>
      </c>
      <c r="B25" t="s">
        <v>714</v>
      </c>
      <c r="C25" s="179">
        <f>ROUND('DOE25'!L261+'DOE25'!L342,0)</f>
        <v>9715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10991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208906</v>
      </c>
      <c r="D27" s="182">
        <f t="shared" si="0"/>
        <v>1.6</v>
      </c>
    </row>
    <row r="28" spans="1:4" x14ac:dyDescent="0.2">
      <c r="B28" s="187" t="s">
        <v>717</v>
      </c>
      <c r="C28" s="180">
        <f>SUM(C10:C27)</f>
        <v>13350379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101276</v>
      </c>
    </row>
    <row r="30" spans="1:4" x14ac:dyDescent="0.2">
      <c r="B30" s="187" t="s">
        <v>723</v>
      </c>
      <c r="C30" s="180">
        <f>SUM(C28:C29)</f>
        <v>13451655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364481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6820466</v>
      </c>
      <c r="D35" s="182">
        <f t="shared" ref="D35:D40" si="1">ROUND((C35/$C$41)*100,1)</f>
        <v>48.7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1174233</v>
      </c>
      <c r="D36" s="182">
        <f t="shared" si="1"/>
        <v>8.4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4581049</v>
      </c>
      <c r="D37" s="182">
        <f t="shared" si="1"/>
        <v>32.700000000000003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591603</v>
      </c>
      <c r="D38" s="182">
        <f t="shared" si="1"/>
        <v>4.2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851256</v>
      </c>
      <c r="D39" s="182">
        <f t="shared" si="1"/>
        <v>6.1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14018607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3741454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764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761</v>
      </c>
      <c r="B2" s="302"/>
      <c r="C2" s="302"/>
      <c r="D2" s="302"/>
      <c r="E2" s="302"/>
      <c r="F2" s="299" t="str">
        <f>'DOE25'!A2</f>
        <v>HAVERHILL COOPERATIVE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7" t="s">
        <v>765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842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2018-08-28T14:51:22Z</cp:lastPrinted>
  <dcterms:created xsi:type="dcterms:W3CDTF">1997-12-04T19:04:30Z</dcterms:created>
  <dcterms:modified xsi:type="dcterms:W3CDTF">2018-12-03T19:01:06Z</dcterms:modified>
</cp:coreProperties>
</file>