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469" i="1" l="1"/>
  <c r="F50" i="1"/>
  <c r="F9" i="1" l="1"/>
  <c r="F46" i="1"/>
  <c r="H135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E16" i="13" s="1"/>
  <c r="C16" i="13" s="1"/>
  <c r="G16" i="13"/>
  <c r="L209" i="1"/>
  <c r="L227" i="1"/>
  <c r="L245" i="1"/>
  <c r="F5" i="13"/>
  <c r="G5" i="13"/>
  <c r="L197" i="1"/>
  <c r="L198" i="1"/>
  <c r="L199" i="1"/>
  <c r="L200" i="1"/>
  <c r="C112" i="2" s="1"/>
  <c r="C115" i="2" s="1"/>
  <c r="L215" i="1"/>
  <c r="L216" i="1"/>
  <c r="L217" i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D7" i="13" s="1"/>
  <c r="C7" i="13" s="1"/>
  <c r="G7" i="13"/>
  <c r="L203" i="1"/>
  <c r="L221" i="1"/>
  <c r="L239" i="1"/>
  <c r="F12" i="13"/>
  <c r="G12" i="13"/>
  <c r="L205" i="1"/>
  <c r="L223" i="1"/>
  <c r="L241" i="1"/>
  <c r="F14" i="13"/>
  <c r="G14" i="13"/>
  <c r="L207" i="1"/>
  <c r="C20" i="10" s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D29" i="13" s="1"/>
  <c r="C29" i="13" s="1"/>
  <c r="J290" i="1"/>
  <c r="J309" i="1"/>
  <c r="J328" i="1"/>
  <c r="K290" i="1"/>
  <c r="K309" i="1"/>
  <c r="K328" i="1"/>
  <c r="L276" i="1"/>
  <c r="L277" i="1"/>
  <c r="E110" i="2" s="1"/>
  <c r="L278" i="1"/>
  <c r="E111" i="2" s="1"/>
  <c r="L279" i="1"/>
  <c r="E112" i="2" s="1"/>
  <c r="L281" i="1"/>
  <c r="E118" i="2" s="1"/>
  <c r="L282" i="1"/>
  <c r="E119" i="2" s="1"/>
  <c r="L283" i="1"/>
  <c r="E120" i="2" s="1"/>
  <c r="L284" i="1"/>
  <c r="E121" i="2" s="1"/>
  <c r="L285" i="1"/>
  <c r="E122" i="2" s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25" i="10" s="1"/>
  <c r="L341" i="1"/>
  <c r="L342" i="1"/>
  <c r="L255" i="1"/>
  <c r="F22" i="13" s="1"/>
  <c r="C22" i="13" s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A31" i="12" s="1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6" i="10"/>
  <c r="L250" i="1"/>
  <c r="L332" i="1"/>
  <c r="L254" i="1"/>
  <c r="L268" i="1"/>
  <c r="L269" i="1"/>
  <c r="L349" i="1"/>
  <c r="L350" i="1"/>
  <c r="I665" i="1"/>
  <c r="I670" i="1"/>
  <c r="L229" i="1"/>
  <c r="L247" i="1"/>
  <c r="F661" i="1"/>
  <c r="G661" i="1"/>
  <c r="H661" i="1"/>
  <c r="F662" i="1"/>
  <c r="I662" i="1" s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G552" i="1" s="1"/>
  <c r="L527" i="1"/>
  <c r="G550" i="1" s="1"/>
  <c r="L528" i="1"/>
  <c r="G551" i="1" s="1"/>
  <c r="L531" i="1"/>
  <c r="H549" i="1" s="1"/>
  <c r="H552" i="1" s="1"/>
  <c r="L532" i="1"/>
  <c r="H550" i="1" s="1"/>
  <c r="L533" i="1"/>
  <c r="H551" i="1" s="1"/>
  <c r="L536" i="1"/>
  <c r="I549" i="1" s="1"/>
  <c r="I552" i="1" s="1"/>
  <c r="L537" i="1"/>
  <c r="I550" i="1" s="1"/>
  <c r="L538" i="1"/>
  <c r="I551" i="1" s="1"/>
  <c r="L541" i="1"/>
  <c r="J549" i="1" s="1"/>
  <c r="J552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F18" i="2" s="1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D85" i="2"/>
  <c r="C87" i="2"/>
  <c r="E87" i="2"/>
  <c r="F87" i="2"/>
  <c r="C88" i="2"/>
  <c r="D88" i="2"/>
  <c r="E88" i="2"/>
  <c r="F88" i="2"/>
  <c r="C89" i="2"/>
  <c r="D89" i="2"/>
  <c r="D91" i="2" s="1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C111" i="2"/>
  <c r="C113" i="2"/>
  <c r="E113" i="2"/>
  <c r="C114" i="2"/>
  <c r="E114" i="2"/>
  <c r="D115" i="2"/>
  <c r="F115" i="2"/>
  <c r="G115" i="2"/>
  <c r="C119" i="2"/>
  <c r="C121" i="2"/>
  <c r="E123" i="2"/>
  <c r="E124" i="2"/>
  <c r="C125" i="2"/>
  <c r="E125" i="2"/>
  <c r="D127" i="2"/>
  <c r="D128" i="2" s="1"/>
  <c r="F128" i="2"/>
  <c r="G128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G338" i="1" s="1"/>
  <c r="G352" i="1" s="1"/>
  <c r="H337" i="1"/>
  <c r="H338" i="1" s="1"/>
  <c r="H352" i="1" s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H408" i="1" s="1"/>
  <c r="H644" i="1" s="1"/>
  <c r="I393" i="1"/>
  <c r="F401" i="1"/>
  <c r="G401" i="1"/>
  <c r="H401" i="1"/>
  <c r="I401" i="1"/>
  <c r="F407" i="1"/>
  <c r="G407" i="1"/>
  <c r="H407" i="1"/>
  <c r="I407" i="1"/>
  <c r="F408" i="1"/>
  <c r="G408" i="1"/>
  <c r="H645" i="1" s="1"/>
  <c r="J645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7" i="1" s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G460" i="1"/>
  <c r="H460" i="1"/>
  <c r="F461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J545" i="1" s="1"/>
  <c r="K529" i="1"/>
  <c r="L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H571" i="1" s="1"/>
  <c r="I570" i="1"/>
  <c r="I571" i="1" s="1"/>
  <c r="J570" i="1"/>
  <c r="J571" i="1" s="1"/>
  <c r="K570" i="1"/>
  <c r="K571" i="1" s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7" i="1"/>
  <c r="G618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H639" i="1"/>
  <c r="G641" i="1"/>
  <c r="H641" i="1"/>
  <c r="G643" i="1"/>
  <c r="J643" i="1" s="1"/>
  <c r="H643" i="1"/>
  <c r="G644" i="1"/>
  <c r="G645" i="1"/>
  <c r="H647" i="1"/>
  <c r="G649" i="1"/>
  <c r="G650" i="1"/>
  <c r="G651" i="1"/>
  <c r="G652" i="1"/>
  <c r="H652" i="1"/>
  <c r="G653" i="1"/>
  <c r="H653" i="1"/>
  <c r="G654" i="1"/>
  <c r="H654" i="1"/>
  <c r="H655" i="1"/>
  <c r="J655" i="1" s="1"/>
  <c r="F192" i="1"/>
  <c r="L256" i="1"/>
  <c r="I257" i="1"/>
  <c r="I271" i="1" s="1"/>
  <c r="G164" i="2"/>
  <c r="L328" i="1"/>
  <c r="H660" i="1" s="1"/>
  <c r="L351" i="1"/>
  <c r="D12" i="13"/>
  <c r="C12" i="13" s="1"/>
  <c r="D62" i="2"/>
  <c r="D18" i="13"/>
  <c r="C18" i="13" s="1"/>
  <c r="D17" i="13"/>
  <c r="C17" i="13" s="1"/>
  <c r="D50" i="2"/>
  <c r="G157" i="2"/>
  <c r="G161" i="2"/>
  <c r="G156" i="2"/>
  <c r="E103" i="2"/>
  <c r="G62" i="2"/>
  <c r="D19" i="13"/>
  <c r="C19" i="13" s="1"/>
  <c r="J641" i="1"/>
  <c r="J639" i="1"/>
  <c r="L433" i="1"/>
  <c r="L419" i="1"/>
  <c r="D81" i="2"/>
  <c r="J140" i="1"/>
  <c r="H257" i="1"/>
  <c r="H271" i="1" s="1"/>
  <c r="K550" i="1"/>
  <c r="G22" i="2"/>
  <c r="C29" i="10"/>
  <c r="H140" i="1"/>
  <c r="L393" i="1"/>
  <c r="C138" i="2" s="1"/>
  <c r="A13" i="12"/>
  <c r="J651" i="1"/>
  <c r="L560" i="1"/>
  <c r="H192" i="1"/>
  <c r="F552" i="1"/>
  <c r="L309" i="1"/>
  <c r="L570" i="1"/>
  <c r="I545" i="1"/>
  <c r="J636" i="1"/>
  <c r="G36" i="2"/>
  <c r="L565" i="1"/>
  <c r="K551" i="1"/>
  <c r="G461" i="1" l="1"/>
  <c r="H640" i="1" s="1"/>
  <c r="L534" i="1"/>
  <c r="I460" i="1"/>
  <c r="I446" i="1"/>
  <c r="G642" i="1" s="1"/>
  <c r="E78" i="2"/>
  <c r="A40" i="12"/>
  <c r="L614" i="1"/>
  <c r="K605" i="1"/>
  <c r="G648" i="1" s="1"/>
  <c r="K598" i="1"/>
  <c r="G647" i="1" s="1"/>
  <c r="J649" i="1"/>
  <c r="F571" i="1"/>
  <c r="K545" i="1"/>
  <c r="L544" i="1"/>
  <c r="L539" i="1"/>
  <c r="H545" i="1"/>
  <c r="G545" i="1"/>
  <c r="K549" i="1"/>
  <c r="K552" i="1" s="1"/>
  <c r="L545" i="1"/>
  <c r="J476" i="1"/>
  <c r="H626" i="1" s="1"/>
  <c r="I476" i="1"/>
  <c r="H625" i="1" s="1"/>
  <c r="J625" i="1" s="1"/>
  <c r="H476" i="1"/>
  <c r="H624" i="1" s="1"/>
  <c r="G476" i="1"/>
  <c r="H623" i="1" s="1"/>
  <c r="J623" i="1" s="1"/>
  <c r="F476" i="1"/>
  <c r="H622" i="1" s="1"/>
  <c r="J622" i="1" s="1"/>
  <c r="J644" i="1"/>
  <c r="J640" i="1"/>
  <c r="I452" i="1"/>
  <c r="L401" i="1"/>
  <c r="C139" i="2" s="1"/>
  <c r="C26" i="10"/>
  <c r="J634" i="1"/>
  <c r="H664" i="1"/>
  <c r="F338" i="1"/>
  <c r="F352" i="1" s="1"/>
  <c r="K338" i="1"/>
  <c r="K352" i="1" s="1"/>
  <c r="J338" i="1"/>
  <c r="J352" i="1" s="1"/>
  <c r="C19" i="10"/>
  <c r="C18" i="10"/>
  <c r="C17" i="10"/>
  <c r="E128" i="2"/>
  <c r="L290" i="1"/>
  <c r="C10" i="10"/>
  <c r="E109" i="2"/>
  <c r="E115" i="2" s="1"/>
  <c r="H25" i="13"/>
  <c r="C25" i="13"/>
  <c r="H33" i="13"/>
  <c r="C130" i="2"/>
  <c r="K257" i="1"/>
  <c r="K271" i="1" s="1"/>
  <c r="D15" i="13"/>
  <c r="C15" i="13" s="1"/>
  <c r="D5" i="13"/>
  <c r="C5" i="13" s="1"/>
  <c r="J647" i="1"/>
  <c r="C124" i="2"/>
  <c r="D14" i="13"/>
  <c r="C14" i="13" s="1"/>
  <c r="C123" i="2"/>
  <c r="E13" i="13"/>
  <c r="C13" i="13" s="1"/>
  <c r="C122" i="2"/>
  <c r="C120" i="2"/>
  <c r="E8" i="13"/>
  <c r="C8" i="13" s="1"/>
  <c r="L211" i="1"/>
  <c r="D6" i="13"/>
  <c r="C6" i="13" s="1"/>
  <c r="G81" i="2"/>
  <c r="I169" i="1"/>
  <c r="F85" i="2"/>
  <c r="F81" i="2"/>
  <c r="H169" i="1"/>
  <c r="E85" i="2"/>
  <c r="E81" i="2"/>
  <c r="E62" i="2"/>
  <c r="E63" i="2" s="1"/>
  <c r="H112" i="1"/>
  <c r="G192" i="1"/>
  <c r="I661" i="1"/>
  <c r="D63" i="2"/>
  <c r="F169" i="1"/>
  <c r="C91" i="2"/>
  <c r="C78" i="2"/>
  <c r="C70" i="2"/>
  <c r="C81" i="2"/>
  <c r="F112" i="1"/>
  <c r="C62" i="2"/>
  <c r="C56" i="2"/>
  <c r="C35" i="10"/>
  <c r="C36" i="10" s="1"/>
  <c r="I52" i="1"/>
  <c r="H620" i="1" s="1"/>
  <c r="J620" i="1" s="1"/>
  <c r="J624" i="1"/>
  <c r="E31" i="2"/>
  <c r="H52" i="1"/>
  <c r="H619" i="1" s="1"/>
  <c r="J619" i="1" s="1"/>
  <c r="D31" i="2"/>
  <c r="D18" i="2"/>
  <c r="J617" i="1"/>
  <c r="C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H672" i="1"/>
  <c r="C6" i="10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J618" i="1"/>
  <c r="G42" i="2"/>
  <c r="J51" i="1"/>
  <c r="G16" i="2"/>
  <c r="J19" i="1"/>
  <c r="G621" i="1" s="1"/>
  <c r="G18" i="2"/>
  <c r="F545" i="1"/>
  <c r="H434" i="1"/>
  <c r="D103" i="2"/>
  <c r="D104" i="2" s="1"/>
  <c r="I140" i="1"/>
  <c r="I193" i="1" s="1"/>
  <c r="G630" i="1" s="1"/>
  <c r="J630" i="1" s="1"/>
  <c r="A22" i="12"/>
  <c r="G50" i="2"/>
  <c r="H648" i="1"/>
  <c r="J648" i="1" s="1"/>
  <c r="J652" i="1"/>
  <c r="G571" i="1"/>
  <c r="I434" i="1"/>
  <c r="G434" i="1"/>
  <c r="I663" i="1"/>
  <c r="C27" i="10"/>
  <c r="G635" i="1"/>
  <c r="J635" i="1" s="1"/>
  <c r="I461" i="1" l="1"/>
  <c r="H642" i="1" s="1"/>
  <c r="J642" i="1"/>
  <c r="E104" i="2"/>
  <c r="G51" i="2"/>
  <c r="H646" i="1"/>
  <c r="J646" i="1" s="1"/>
  <c r="L338" i="1"/>
  <c r="L352" i="1" s="1"/>
  <c r="G633" i="1" s="1"/>
  <c r="J633" i="1" s="1"/>
  <c r="F660" i="1"/>
  <c r="D31" i="13"/>
  <c r="C31" i="13" s="1"/>
  <c r="E145" i="2"/>
  <c r="C28" i="10"/>
  <c r="D22" i="10" s="1"/>
  <c r="C128" i="2"/>
  <c r="L257" i="1"/>
  <c r="L271" i="1" s="1"/>
  <c r="G632" i="1" s="1"/>
  <c r="J632" i="1" s="1"/>
  <c r="C145" i="2"/>
  <c r="E33" i="13"/>
  <c r="D35" i="13" s="1"/>
  <c r="F664" i="1"/>
  <c r="I660" i="1"/>
  <c r="G104" i="2"/>
  <c r="F104" i="2"/>
  <c r="G667" i="1"/>
  <c r="C63" i="2"/>
  <c r="C104" i="2" s="1"/>
  <c r="F51" i="2"/>
  <c r="C51" i="2"/>
  <c r="G631" i="1"/>
  <c r="J631" i="1" s="1"/>
  <c r="I664" i="1"/>
  <c r="I672" i="1" s="1"/>
  <c r="C7" i="10" s="1"/>
  <c r="D33" i="13"/>
  <c r="D36" i="13" s="1"/>
  <c r="G193" i="1"/>
  <c r="G628" i="1" s="1"/>
  <c r="J628" i="1" s="1"/>
  <c r="G626" i="1"/>
  <c r="J626" i="1" s="1"/>
  <c r="J52" i="1"/>
  <c r="H621" i="1" s="1"/>
  <c r="J621" i="1" s="1"/>
  <c r="C38" i="10"/>
  <c r="D23" i="10" l="1"/>
  <c r="D24" i="10"/>
  <c r="D27" i="10"/>
  <c r="D10" i="10"/>
  <c r="D20" i="10"/>
  <c r="D13" i="10"/>
  <c r="D18" i="10"/>
  <c r="D26" i="10"/>
  <c r="D15" i="10"/>
  <c r="D11" i="10"/>
  <c r="D17" i="10"/>
  <c r="C30" i="10"/>
  <c r="D25" i="10"/>
  <c r="D21" i="10"/>
  <c r="D12" i="10"/>
  <c r="D16" i="10"/>
  <c r="D19" i="10"/>
  <c r="F672" i="1"/>
  <c r="C4" i="10" s="1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<sst xmlns="http://schemas.openxmlformats.org/spreadsheetml/2006/main" count="3960" uniqueCount="916">
  <si>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</si>
  <si>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</si>
  <si>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</si>
  <si>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</si>
  <si>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</si>
  <si>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</si>
  <si>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</si>
  <si>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</si>
  <si>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</si>
  <si>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</si>
  <si>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</si>
  <si>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</si>
  <si>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</si>
  <si>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</si>
  <si>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</si>
  <si>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</si>
  <si>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</si>
  <si>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</si>
  <si>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</si>
  <si>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</si>
  <si>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</si>
  <si>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</si>
  <si>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</si>
  <si>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</si>
  <si>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</si>
  <si>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</si>
  <si>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</si>
  <si>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</si>
  <si>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</si>
  <si>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</si>
  <si>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</si>
  <si>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</si>
  <si>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</si>
  <si>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</si>
  <si>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</si>
  <si>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</si>
  <si>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</si>
  <si>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</si>
  <si>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</si>
  <si>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</si>
  <si>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</si>
  <si>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</si>
  <si>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</si>
  <si>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</si>
  <si>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</si>
  <si>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</si>
  <si>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</si>
  <si>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</si>
  <si>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</si>
  <si>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</si>
  <si>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</si>
  <si>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</si>
  <si>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</si>
  <si>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</si>
  <si>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</si>
  <si>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</si>
  <si>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</si>
  <si>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</si>
  <si>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</si>
  <si>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</si>
  <si>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</si>
  <si>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</si>
  <si>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</si>
  <si>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</si>
  <si>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</si>
  <si>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</si>
  <si>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</si>
  <si>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</si>
  <si>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</si>
  <si>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</si>
  <si>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</si>
  <si>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</si>
  <si>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</si>
  <si>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</si>
  <si>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</si>
  <si>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</si>
  <si>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</si>
  <si>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</si>
  <si>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</si>
  <si>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</si>
  <si>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</si>
  <si>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</si>
  <si>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</si>
  <si>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</si>
  <si>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</si>
  <si>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</si>
  <si>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</si>
  <si>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</si>
  <si>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</si>
  <si>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</si>
  <si>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</si>
  <si>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</si>
  <si>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</si>
  <si>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</si>
  <si>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</si>
  <si>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</si>
  <si>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</si>
  <si>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</si>
  <si>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</si>
  <si>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</si>
  <si>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</si>
  <si>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</si>
  <si>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</si>
  <si>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</si>
  <si>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</si>
  <si>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</si>
  <si>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</si>
  <si>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</si>
  <si>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</si>
  <si>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</si>
  <si>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</si>
  <si>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</si>
  <si>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</si>
  <si>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</si>
  <si>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</si>
  <si>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</si>
  <si>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</si>
  <si>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</si>
  <si>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</si>
  <si>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</si>
  <si>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</si>
  <si>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</si>
  <si>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</si>
  <si>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</si>
  <si>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</si>
  <si>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</si>
  <si>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</si>
  <si>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</si>
  <si>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</si>
  <si>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</si>
  <si>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</si>
  <si>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</si>
  <si>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</si>
  <si>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</si>
  <si>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</si>
  <si>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</si>
  <si>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</si>
  <si>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</si>
  <si>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</si>
  <si>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</si>
  <si>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</si>
  <si>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</si>
  <si>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</si>
  <si>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</si>
  <si>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</si>
  <si>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</si>
  <si>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</si>
  <si>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</si>
  <si>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</si>
  <si>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</si>
  <si>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</si>
  <si>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</si>
  <si>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</si>
  <si>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</si>
  <si>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</si>
  <si>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</si>
  <si>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</si>
  <si>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</si>
  <si>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</si>
  <si>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</si>
  <si>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</si>
  <si>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</si>
  <si>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</si>
  <si>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</si>
  <si>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</si>
  <si>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</si>
  <si>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</si>
  <si>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</si>
  <si>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</si>
  <si>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</si>
  <si>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</si>
  <si>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</si>
  <si>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</si>
  <si>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</si>
  <si>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</si>
  <si>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</si>
  <si>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</si>
  <si>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</si>
  <si>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</si>
  <si>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</si>
  <si>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</si>
  <si>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</si>
  <si>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</si>
  <si>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</si>
  <si>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</si>
  <si>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</si>
  <si>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</si>
  <si>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</si>
  <si>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</si>
  <si>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</si>
  <si>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</si>
  <si>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</si>
  <si>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</si>
  <si>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</si>
  <si>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</si>
  <si>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</si>
  <si>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</si>
  <si>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</si>
  <si>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</si>
  <si>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</si>
  <si>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</si>
  <si>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</si>
  <si>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</si>
  <si>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</si>
  <si>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</si>
  <si>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</si>
  <si>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</si>
  <si>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</si>
  <si>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</si>
  <si>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</si>
  <si>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</si>
  <si>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</si>
  <si>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</si>
  <si>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</si>
  <si>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</si>
  <si>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</si>
  <si>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</si>
  <si>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</si>
  <si>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</si>
  <si>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</si>
  <si>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</si>
  <si>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</si>
  <si>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</si>
  <si>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</si>
  <si>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</si>
  <si>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</si>
  <si>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</si>
  <si>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</si>
  <si>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</si>
  <si>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</si>
  <si>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</si>
  <si>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</si>
  <si>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</si>
  <si>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</si>
  <si>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</si>
  <si>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</si>
  <si>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</si>
  <si>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</si>
  <si>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</si>
  <si>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</si>
  <si>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</si>
  <si>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</si>
  <si>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</si>
  <si>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</si>
  <si>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</si>
  <si>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</si>
  <si>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</si>
  <si>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</si>
  <si>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</si>
  <si>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</si>
  <si>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</si>
  <si>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</si>
  <si>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</si>
  <si>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</si>
  <si>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</si>
  <si>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</si>
  <si>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</si>
  <si>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</si>
  <si>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</si>
  <si>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</si>
  <si>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</si>
  <si>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</si>
  <si>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</si>
  <si>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</si>
  <si>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</si>
  <si>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</si>
  <si>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</si>
  <si>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</si>
  <si>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</si>
  <si>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</si>
  <si>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</si>
  <si>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</si>
  <si>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</si>
  <si>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</si>
  <si>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</si>
  <si>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</si>
  <si>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</si>
  <si>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</si>
  <si>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</si>
  <si>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</si>
  <si>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</si>
  <si>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</si>
  <si>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</si>
  <si>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</si>
  <si>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</si>
  <si>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</si>
  <si>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</si>
  <si>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</si>
  <si>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</si>
  <si>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</si>
  <si>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</si>
  <si>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</si>
  <si>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</si>
  <si>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</si>
  <si>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</si>
  <si>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</si>
  <si>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</si>
  <si>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</si>
  <si>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</si>
  <si>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</si>
  <si>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</si>
  <si>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</si>
  <si>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</si>
  <si>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</si>
  <si>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</si>
  <si>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</si>
  <si>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</si>
  <si>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</si>
  <si>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</si>
  <si>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</si>
  <si>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</si>
  <si>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</si>
  <si>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</si>
  <si>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</si>
  <si>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</si>
  <si>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</si>
  <si>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</si>
  <si>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</si>
  <si>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</si>
  <si>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</si>
  <si>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</si>
  <si>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</si>
  <si>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</si>
  <si>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</si>
  <si>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</si>
  <si>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</si>
  <si>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</si>
  <si>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</si>
  <si>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</si>
  <si>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</si>
  <si>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</si>
  <si>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</si>
  <si>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</si>
  <si>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</si>
  <si>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</si>
  <si>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</si>
  <si>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</si>
  <si>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</si>
  <si>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</si>
  <si>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</si>
  <si>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</si>
  <si>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</si>
  <si>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</si>
  <si>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</si>
  <si>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</si>
  <si>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</si>
  <si>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</si>
  <si>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</si>
  <si>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</si>
  <si>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</si>
  <si>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</si>
  <si>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</si>
  <si>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</si>
  <si>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</si>
  <si>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</si>
  <si>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</si>
  <si>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</si>
  <si>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</si>
  <si>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</si>
  <si>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</si>
  <si>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</si>
  <si>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</si>
  <si>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</si>
  <si>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</si>
  <si>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</si>
  <si>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</si>
  <si>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</si>
  <si>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</si>
  <si>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</si>
  <si>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</si>
  <si>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</si>
  <si>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</si>
  <si>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</si>
  <si>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</si>
  <si>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</si>
  <si>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</si>
  <si>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</si>
  <si>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</si>
  <si>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</si>
  <si>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</si>
  <si>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</si>
  <si>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</si>
  <si>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</si>
  <si>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</si>
  <si>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</si>
  <si>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</si>
  <si>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</si>
  <si>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</si>
  <si>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</si>
  <si>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</si>
  <si>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</si>
  <si>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</si>
  <si>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</si>
  <si>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</si>
  <si>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</si>
  <si>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</si>
  <si>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</si>
  <si>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</si>
  <si>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</si>
  <si>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</si>
  <si>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</si>
  <si>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</si>
  <si>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</si>
  <si>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</si>
  <si>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</si>
  <si>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</si>
  <si>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</si>
  <si>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</si>
  <si>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</si>
  <si>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</si>
  <si>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</si>
  <si>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</si>
  <si>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</si>
  <si>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</si>
  <si>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</si>
  <si>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</si>
  <si>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</si>
  <si>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</si>
  <si>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</si>
  <si>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</si>
  <si>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</si>
  <si>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</si>
  <si>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</si>
  <si>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</si>
  <si>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</si>
  <si>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</si>
  <si>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</si>
  <si>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</si>
  <si>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</si>
  <si>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</si>
  <si>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</si>
  <si>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</si>
  <si>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</si>
  <si>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</si>
  <si>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</si>
  <si>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</si>
  <si>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</si>
  <si>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</si>
  <si>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</si>
  <si>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</si>
  <si>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</si>
  <si>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</si>
  <si>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</si>
  <si>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</si>
  <si>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</si>
  <si>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</si>
  <si>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</si>
  <si>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</si>
  <si>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</si>
  <si>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</si>
  <si>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</si>
  <si>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</si>
  <si>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</si>
  <si>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</si>
  <si>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</si>
  <si>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</si>
  <si>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</si>
  <si>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</si>
  <si>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</si>
  <si>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</si>
  <si>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</si>
  <si>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</si>
  <si>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</si>
  <si>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</si>
  <si>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</si>
  <si>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</si>
  <si>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</si>
  <si>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</si>
  <si>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</si>
  <si>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</si>
  <si>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</si>
  <si>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</si>
  <si>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</si>
  <si>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</si>
  <si>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</si>
  <si>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</si>
  <si>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</si>
  <si>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</si>
  <si>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</si>
  <si>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</si>
  <si>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</si>
  <si>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</si>
  <si>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</si>
  <si>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</si>
  <si>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</si>
  <si>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</si>
  <si>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</si>
  <si>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</si>
  <si>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</si>
  <si>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</si>
  <si>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</si>
  <si>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</si>
  <si>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</si>
  <si>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</si>
  <si>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</si>
  <si>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</si>
  <si>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</si>
  <si>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</si>
  <si>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</si>
  <si>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</si>
  <si>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</si>
  <si>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</si>
  <si>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</si>
  <si>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</si>
  <si>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</si>
  <si>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</si>
  <si>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</si>
  <si>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</si>
  <si>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</si>
  <si>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</si>
  <si>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</si>
  <si>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</si>
  <si>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</si>
  <si>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</si>
  <si>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</si>
  <si>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</si>
  <si>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</si>
  <si>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</si>
  <si>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</si>
  <si>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</si>
  <si>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</si>
  <si>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</si>
  <si>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</si>
  <si>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</si>
  <si>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</si>
  <si>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</si>
  <si>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</si>
  <si>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</si>
  <si>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</si>
  <si>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</si>
  <si>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</si>
  <si>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</si>
  <si>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</si>
  <si>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</si>
  <si>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</si>
  <si>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</si>
  <si>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</si>
  <si>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</si>
  <si>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</si>
  <si>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</si>
  <si>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</si>
  <si>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</si>
  <si>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</si>
  <si>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</si>
  <si>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</si>
  <si>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</si>
  <si>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</si>
  <si>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</si>
  <si>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</si>
  <si>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</si>
  <si>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</si>
  <si>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</si>
  <si>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</si>
  <si>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</si>
  <si>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</si>
  <si>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</si>
  <si>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</si>
  <si>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</si>
  <si>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</si>
  <si>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</si>
  <si>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</si>
  <si>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</si>
  <si>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</si>
  <si>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</si>
  <si>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</si>
  <si>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</si>
  <si>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</si>
  <si>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</si>
  <si>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</si>
  <si>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</si>
  <si>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</si>
  <si>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</si>
  <si>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</si>
  <si>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</si>
  <si>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</si>
  <si>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</si>
  <si>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</si>
  <si>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</si>
  <si>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</si>
  <si>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</si>
  <si>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</si>
  <si>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</si>
  <si>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</si>
  <si>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</si>
  <si>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</si>
  <si>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</si>
  <si>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</si>
  <si>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</si>
  <si>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</si>
  <si>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</si>
  <si>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</si>
  <si>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</si>
  <si>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</si>
  <si>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</si>
  <si>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</si>
  <si>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</si>
  <si>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</si>
  <si>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</si>
  <si>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</si>
  <si>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</si>
  <si>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</si>
  <si>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</si>
  <si>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</si>
  <si>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</si>
  <si>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</si>
  <si>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</si>
  <si>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</si>
  <si>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</si>
  <si>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</si>
  <si>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</si>
  <si>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</si>
  <si>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</si>
  <si>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</si>
  <si>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</si>
  <si>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</si>
  <si>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</si>
  <si>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</si>
  <si>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</si>
  <si>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</si>
  <si>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</si>
  <si>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</si>
  <si>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</si>
  <si>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</si>
  <si>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</si>
  <si>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</si>
  <si>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</si>
  <si>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</si>
  <si>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</si>
  <si>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</si>
  <si>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</si>
  <si>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</si>
  <si>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</si>
  <si>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</si>
  <si>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</si>
  <si>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</si>
  <si>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</si>
  <si>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</si>
  <si>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</si>
  <si>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</si>
  <si>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</si>
  <si>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</si>
  <si>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</si>
  <si>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</si>
  <si>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</si>
  <si>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</si>
  <si>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</si>
  <si>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</si>
  <si>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</si>
  <si>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</si>
  <si>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</si>
  <si>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</si>
  <si>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</si>
  <si>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</si>
  <si>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</si>
  <si>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</si>
  <si>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</si>
  <si>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</si>
  <si>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</si>
  <si>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</si>
  <si>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</si>
  <si>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</si>
  <si>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</si>
  <si>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</si>
  <si>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</si>
  <si>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</si>
  <si>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</si>
  <si>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</si>
  <si>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</si>
  <si>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</si>
  <si>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</si>
  <si>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</si>
  <si>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</si>
  <si>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</si>
  <si>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</si>
  <si>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</si>
  <si>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</si>
  <si>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</si>
  <si>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</si>
  <si>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</si>
  <si>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</si>
  <si>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</si>
  <si>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</si>
  <si>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</si>
  <si>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</si>
  <si>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</si>
  <si>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</si>
  <si>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</si>
  <si>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</si>
  <si>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</si>
  <si>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</si>
  <si>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</si>
  <si>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</si>
  <si>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</si>
  <si>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</si>
  <si>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</si>
  <si>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</si>
  <si>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</si>
  <si>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</si>
  <si>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</si>
  <si>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</si>
  <si>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</si>
  <si>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</si>
  <si>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</si>
  <si>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</si>
  <si>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</si>
  <si>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</si>
  <si>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</si>
  <si>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</si>
  <si>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</si>
  <si>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</si>
  <si>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</si>
  <si>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</si>
  <si>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</si>
  <si>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</si>
  <si>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</si>
  <si>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</si>
  <si>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</si>
  <si>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</si>
  <si>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</si>
  <si>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</si>
  <si>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</si>
  <si>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</si>
  <si>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</si>
  <si>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</si>
  <si>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</si>
  <si>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</si>
  <si>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</si>
  <si>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</si>
  <si>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</si>
  <si>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</si>
  <si>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</si>
  <si>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</si>
  <si>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</si>
  <si>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</si>
  <si>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</si>
  <si>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</si>
  <si>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</si>
  <si>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</si>
  <si>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</si>
  <si>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</si>
  <si>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</si>
  <si>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</si>
  <si>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</si>
  <si>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</si>
  <si>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</si>
  <si>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</si>
  <si>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</si>
  <si>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</si>
  <si>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</si>
  <si>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</si>
  <si>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</si>
  <si>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</si>
  <si>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</si>
  <si>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</si>
  <si>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</si>
  <si>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</si>
  <si>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</si>
  <si>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</si>
  <si>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</si>
  <si>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</si>
  <si>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</si>
  <si>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</si>
  <si>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</si>
  <si>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</si>
  <si>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</si>
  <si>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</si>
  <si>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</si>
  <si>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</si>
  <si>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</si>
  <si>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</si>
  <si>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</si>
  <si>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</si>
  <si>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</si>
  <si>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</si>
  <si>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</si>
  <si>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</si>
  <si>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</si>
  <si>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</si>
  <si>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</si>
  <si>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</si>
  <si>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</si>
  <si>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</si>
  <si>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</si>
  <si>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</si>
  <si>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</si>
  <si>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</si>
  <si>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</si>
  <si>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</si>
  <si>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</si>
  <si>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</si>
  <si>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</si>
  <si>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</si>
  <si>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</si>
  <si>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</si>
  <si>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</si>
  <si>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</si>
  <si>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</si>
  <si>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</si>
  <si>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</si>
  <si>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</si>
  <si>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</si>
  <si>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</si>
  <si>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</si>
  <si>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</si>
  <si>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</si>
  <si>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</si>
  <si>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</si>
  <si>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</si>
  <si>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</si>
  <si>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</si>
  <si>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</si>
  <si>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</si>
  <si>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</si>
  <si>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</si>
  <si>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</si>
  <si>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</si>
  <si>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</si>
  <si>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</si>
  <si>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</si>
  <si>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</si>
  <si>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</si>
  <si>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</si>
  <si>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</si>
  <si>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</si>
  <si>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</si>
  <si>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</si>
  <si>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</si>
  <si>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</si>
  <si>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</si>
  <si>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</si>
  <si>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</si>
  <si>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</si>
  <si>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</si>
  <si>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</si>
  <si>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</si>
  <si>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</si>
  <si>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</si>
  <si>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</si>
  <si>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</si>
  <si>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</si>
  <si>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</si>
  <si>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</si>
  <si>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</si>
  <si>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</si>
  <si>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</si>
  <si>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</si>
  <si>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</si>
  <si>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</si>
  <si>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</si>
  <si>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</si>
  <si>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</si>
  <si>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</si>
  <si>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</si>
  <si>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</si>
  <si>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</si>
  <si>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</si>
  <si>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</si>
  <si>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</si>
  <si>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</si>
  <si>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</si>
  <si>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</si>
  <si>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</si>
  <si>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</si>
  <si>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</si>
  <si>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</si>
  <si>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</si>
  <si>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</si>
  <si>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</si>
  <si>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</si>
  <si>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</si>
  <si>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</si>
  <si>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</si>
  <si>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</si>
  <si>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</si>
  <si>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</si>
  <si>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</si>
  <si>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</si>
  <si>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</si>
  <si>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</si>
  <si>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</si>
  <si>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</si>
  <si>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</si>
  <si>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</si>
  <si>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</si>
  <si>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</si>
  <si>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</si>
  <si>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</si>
  <si>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</si>
  <si>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</si>
  <si>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</si>
  <si>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</si>
  <si>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</si>
  <si>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</si>
  <si>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</si>
  <si>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</si>
  <si>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</si>
  <si>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</si>
  <si>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</si>
  <si>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</si>
  <si>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</si>
  <si>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</si>
  <si>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</si>
  <si>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</si>
  <si>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</si>
  <si>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</si>
  <si>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</si>
  <si>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</si>
  <si>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</si>
  <si>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</si>
  <si>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</si>
  <si>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</si>
  <si>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</si>
  <si>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HENNIKER SCHOOL DISTRICT</t>
  </si>
  <si>
    <t>ACCRUAL VACATION</t>
  </si>
  <si>
    <t>DEFERRED REVENUE</t>
  </si>
  <si>
    <t>PAYABLES NOT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</si>
</sst>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245</v>
      </c>
      <c r="C2" s="21">
        <v>245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658752.03</f>
        <v>658752.03</v>
      </c>
      <c r="G9" s="18">
        <v>-2958.16</v>
      </c>
      <c r="H9" s="18">
        <v>-62003.25</v>
      </c>
      <c r="I9" s="18">
        <v>0</v>
      </c>
      <c r="J9" s="67">
        <f>SUM(I439)</f>
        <v>337439.79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>
        <v>0</v>
      </c>
      <c r="H10" s="18">
        <v>0</v>
      </c>
      <c r="I10" s="18">
        <v>0</v>
      </c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>
        <v>0</v>
      </c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>
        <v>0</v>
      </c>
      <c r="G12" s="18">
        <v>0</v>
      </c>
      <c r="H12" s="18">
        <v>0</v>
      </c>
      <c r="I12" s="18">
        <v>0</v>
      </c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36809.269999999997</v>
      </c>
      <c r="G13" s="18">
        <v>4383.66</v>
      </c>
      <c r="H13" s="18">
        <v>63278.25</v>
      </c>
      <c r="I13" s="18">
        <v>0</v>
      </c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v>3279.76</v>
      </c>
      <c r="G14" s="18">
        <v>30049.17</v>
      </c>
      <c r="H14" s="18">
        <v>0</v>
      </c>
      <c r="I14" s="18">
        <v>0</v>
      </c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>
        <v>0</v>
      </c>
      <c r="G18" s="18">
        <v>0</v>
      </c>
      <c r="H18" s="145">
        <v>0</v>
      </c>
      <c r="I18" s="18">
        <v>0</v>
      </c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698841.06</v>
      </c>
      <c r="G19" s="41">
        <f>SUM(G9:G18)</f>
        <v>31474.67</v>
      </c>
      <c r="H19" s="41">
        <f>SUM(H9:H18)</f>
        <v>1275</v>
      </c>
      <c r="I19" s="41">
        <f>SUM(I9:I18)</f>
        <v>0</v>
      </c>
      <c r="J19" s="41">
        <f>SUM(J9:J18)</f>
        <v>337439.79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0</v>
      </c>
      <c r="G22" s="18">
        <v>0</v>
      </c>
      <c r="H22" s="18">
        <v>0</v>
      </c>
      <c r="I22" s="18">
        <v>0</v>
      </c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4099.3900000000003</v>
      </c>
      <c r="G24" s="18">
        <v>0</v>
      </c>
      <c r="H24" s="18">
        <v>0</v>
      </c>
      <c r="I24" s="18">
        <v>0</v>
      </c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>
        <v>3200</v>
      </c>
      <c r="G25" s="145">
        <v>0</v>
      </c>
      <c r="H25" s="18">
        <v>0</v>
      </c>
      <c r="I25" s="18">
        <v>0</v>
      </c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>
        <v>0</v>
      </c>
      <c r="G26" s="24" t="s">
        <v>286</v>
      </c>
      <c r="H26" s="24" t="s">
        <v>286</v>
      </c>
      <c r="I26" s="18">
        <v>0</v>
      </c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>
        <v>0</v>
      </c>
      <c r="G27" s="24" t="s">
        <v>286</v>
      </c>
      <c r="H27" s="24" t="s">
        <v>286</v>
      </c>
      <c r="I27" s="18">
        <v>0</v>
      </c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v>9782.84</v>
      </c>
      <c r="G28" s="18">
        <v>0</v>
      </c>
      <c r="H28" s="18">
        <v>0</v>
      </c>
      <c r="I28" s="18">
        <v>0</v>
      </c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15474.61</v>
      </c>
      <c r="G29" s="18">
        <v>0</v>
      </c>
      <c r="H29" s="18">
        <v>0</v>
      </c>
      <c r="I29" s="18">
        <v>0</v>
      </c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0</v>
      </c>
      <c r="G30" s="18">
        <v>3995.65</v>
      </c>
      <c r="H30" s="18">
        <v>0</v>
      </c>
      <c r="I30" s="18">
        <v>0</v>
      </c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32556.84</v>
      </c>
      <c r="G32" s="41">
        <f>SUM(G22:G31)</f>
        <v>3995.65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>
        <v>75000</v>
      </c>
      <c r="G44" s="18">
        <v>0</v>
      </c>
      <c r="H44" s="18">
        <v>0</v>
      </c>
      <c r="I44" s="18">
        <v>0</v>
      </c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f>162473.48-22077.53</f>
        <v>140395.95000000001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>
        <v>0</v>
      </c>
      <c r="G48" s="18">
        <v>27479.02</v>
      </c>
      <c r="H48" s="18">
        <v>1275</v>
      </c>
      <c r="I48" s="18">
        <v>0</v>
      </c>
      <c r="J48" s="13">
        <f>SUM(I459)</f>
        <v>337439.79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f>428810.74+22077.53</f>
        <v>450888.27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666284.22</v>
      </c>
      <c r="G51" s="41">
        <f>SUM(G35:G50)</f>
        <v>27479.02</v>
      </c>
      <c r="H51" s="41">
        <f>SUM(H35:H50)</f>
        <v>1275</v>
      </c>
      <c r="I51" s="41">
        <f>SUM(I35:I50)</f>
        <v>0</v>
      </c>
      <c r="J51" s="41">
        <f>SUM(J35:J50)</f>
        <v>337439.79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698841.05999999994</v>
      </c>
      <c r="G52" s="41">
        <f>G51+G32</f>
        <v>31474.670000000002</v>
      </c>
      <c r="H52" s="41">
        <f>H51+H32</f>
        <v>1275</v>
      </c>
      <c r="I52" s="41">
        <f>I51+I32</f>
        <v>0</v>
      </c>
      <c r="J52" s="41">
        <f>J51+J32</f>
        <v>337439.79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5026107</v>
      </c>
      <c r="G57" s="18">
        <v>0</v>
      </c>
      <c r="H57" s="18">
        <v>0</v>
      </c>
      <c r="I57" s="18">
        <v>0</v>
      </c>
      <c r="J57" s="18">
        <v>0</v>
      </c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>
        <v>0</v>
      </c>
      <c r="G58" s="18">
        <v>0</v>
      </c>
      <c r="H58" s="24" t="s">
        <v>286</v>
      </c>
      <c r="I58" s="18">
        <v>0</v>
      </c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5026107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36310</v>
      </c>
      <c r="G63" s="24" t="s">
        <v>286</v>
      </c>
      <c r="H63" s="18">
        <v>0</v>
      </c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>
        <v>0</v>
      </c>
      <c r="G64" s="24" t="s">
        <v>286</v>
      </c>
      <c r="H64" s="18">
        <v>0</v>
      </c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>
        <v>0</v>
      </c>
      <c r="G65" s="24" t="s">
        <v>286</v>
      </c>
      <c r="H65" s="18">
        <v>0</v>
      </c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>
        <v>0</v>
      </c>
      <c r="G66" s="24" t="s">
        <v>286</v>
      </c>
      <c r="H66" s="18">
        <v>0</v>
      </c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0</v>
      </c>
      <c r="G68" s="24" t="s">
        <v>286</v>
      </c>
      <c r="H68" s="18">
        <v>0</v>
      </c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>
        <v>0</v>
      </c>
      <c r="G69" s="24" t="s">
        <v>286</v>
      </c>
      <c r="H69" s="18">
        <v>0</v>
      </c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>
        <v>0</v>
      </c>
      <c r="G70" s="24" t="s">
        <v>286</v>
      </c>
      <c r="H70" s="18">
        <v>0</v>
      </c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0</v>
      </c>
      <c r="G72" s="24" t="s">
        <v>286</v>
      </c>
      <c r="H72" s="18">
        <v>0</v>
      </c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>
        <v>0</v>
      </c>
      <c r="G73" s="24" t="s">
        <v>286</v>
      </c>
      <c r="H73" s="18">
        <v>0</v>
      </c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>
        <v>0</v>
      </c>
      <c r="G74" s="24" t="s">
        <v>286</v>
      </c>
      <c r="H74" s="18">
        <v>0</v>
      </c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>
        <v>0</v>
      </c>
      <c r="G76" s="24" t="s">
        <v>286</v>
      </c>
      <c r="H76" s="18">
        <v>0</v>
      </c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>
        <v>0</v>
      </c>
      <c r="G77" s="24" t="s">
        <v>286</v>
      </c>
      <c r="H77" s="18">
        <v>0</v>
      </c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>
        <v>0</v>
      </c>
      <c r="G78" s="24" t="s">
        <v>286</v>
      </c>
      <c r="H78" s="18">
        <v>0</v>
      </c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36310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>
        <v>0</v>
      </c>
      <c r="G83" s="24" t="s">
        <v>286</v>
      </c>
      <c r="H83" s="18">
        <v>0</v>
      </c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>
        <v>0</v>
      </c>
      <c r="G84" s="24" t="s">
        <v>286</v>
      </c>
      <c r="H84" s="18">
        <v>0</v>
      </c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>
        <v>4902.72</v>
      </c>
      <c r="G86" s="24" t="s">
        <v>286</v>
      </c>
      <c r="H86" s="18">
        <v>0</v>
      </c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>
        <v>61929</v>
      </c>
      <c r="G87" s="24" t="s">
        <v>286</v>
      </c>
      <c r="H87" s="18">
        <v>0</v>
      </c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>
        <v>0</v>
      </c>
      <c r="G88" s="24" t="s">
        <v>286</v>
      </c>
      <c r="H88" s="18">
        <v>0</v>
      </c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>
        <v>0</v>
      </c>
      <c r="G90" s="24" t="s">
        <v>286</v>
      </c>
      <c r="H90" s="18">
        <v>0</v>
      </c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>
        <v>0</v>
      </c>
      <c r="G91" s="24" t="s">
        <v>286</v>
      </c>
      <c r="H91" s="18">
        <v>0</v>
      </c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>
        <v>0</v>
      </c>
      <c r="G92" s="24" t="s">
        <v>286</v>
      </c>
      <c r="H92" s="18">
        <v>0</v>
      </c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>
        <v>0</v>
      </c>
      <c r="G93" s="24" t="s">
        <v>286</v>
      </c>
      <c r="H93" s="18">
        <v>0</v>
      </c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66831.72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4012.48</v>
      </c>
      <c r="G96" s="18">
        <v>0</v>
      </c>
      <c r="H96" s="18">
        <v>0</v>
      </c>
      <c r="I96" s="18">
        <v>0</v>
      </c>
      <c r="J96" s="18">
        <v>36.76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76440.100000000006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0</v>
      </c>
      <c r="G98" s="24" t="s">
        <v>286</v>
      </c>
      <c r="H98" s="18">
        <v>0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>
        <v>0</v>
      </c>
      <c r="G99" s="18">
        <v>0</v>
      </c>
      <c r="H99" s="18">
        <v>0</v>
      </c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0</v>
      </c>
      <c r="G101" s="18">
        <v>0</v>
      </c>
      <c r="H101" s="18">
        <v>0</v>
      </c>
      <c r="I101" s="18">
        <v>0</v>
      </c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>
        <v>6492.67</v>
      </c>
      <c r="G102" s="18">
        <v>0</v>
      </c>
      <c r="H102" s="18">
        <v>1000</v>
      </c>
      <c r="I102" s="18">
        <v>0</v>
      </c>
      <c r="J102" s="18">
        <v>0</v>
      </c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0</v>
      </c>
      <c r="G103" s="18">
        <v>0</v>
      </c>
      <c r="H103" s="18">
        <v>0</v>
      </c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>
        <v>0</v>
      </c>
      <c r="G104" s="24" t="s">
        <v>286</v>
      </c>
      <c r="H104" s="18">
        <v>0</v>
      </c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>
        <v>0</v>
      </c>
      <c r="G105" s="18">
        <v>0</v>
      </c>
      <c r="H105" s="18">
        <v>0</v>
      </c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>
        <v>0</v>
      </c>
      <c r="G106" s="18">
        <v>0</v>
      </c>
      <c r="H106" s="18">
        <v>0</v>
      </c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47</v>
      </c>
      <c r="G109" s="18">
        <v>0</v>
      </c>
      <c r="H109" s="18">
        <v>0</v>
      </c>
      <c r="I109" s="18">
        <v>0</v>
      </c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15076.32</v>
      </c>
      <c r="G110" s="18">
        <v>0</v>
      </c>
      <c r="H110" s="18">
        <v>0</v>
      </c>
      <c r="I110" s="18">
        <v>0</v>
      </c>
      <c r="J110" s="18">
        <v>0</v>
      </c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25628.47</v>
      </c>
      <c r="G111" s="41">
        <f>SUM(G96:G110)</f>
        <v>76440.100000000006</v>
      </c>
      <c r="H111" s="41">
        <f>SUM(H96:H110)</f>
        <v>1000</v>
      </c>
      <c r="I111" s="41">
        <f>SUM(I96:I110)</f>
        <v>0</v>
      </c>
      <c r="J111" s="41">
        <f>SUM(J96:J110)</f>
        <v>36.76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5154877.1899999995</v>
      </c>
      <c r="G112" s="41">
        <f>G60+G111</f>
        <v>76440.100000000006</v>
      </c>
      <c r="H112" s="41">
        <f>H60+H79+H94+H111</f>
        <v>1000</v>
      </c>
      <c r="I112" s="41">
        <f>I60+I111</f>
        <v>0</v>
      </c>
      <c r="J112" s="41">
        <f>J60+J111</f>
        <v>36.76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1516366.36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588291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>
        <v>10625.49</v>
      </c>
      <c r="G120" s="18">
        <v>0</v>
      </c>
      <c r="H120" s="18">
        <v>0</v>
      </c>
      <c r="I120" s="18">
        <v>0</v>
      </c>
      <c r="J120" s="18">
        <v>0</v>
      </c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2115282.8500000006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0</v>
      </c>
      <c r="G123" s="24" t="s">
        <v>286</v>
      </c>
      <c r="H123" s="24" t="s">
        <v>286</v>
      </c>
      <c r="I123" s="18">
        <v>0</v>
      </c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>
        <v>0</v>
      </c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>
        <v>97689.02</v>
      </c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v>0</v>
      </c>
      <c r="G127" s="24" t="s">
        <v>286</v>
      </c>
      <c r="H127" s="18">
        <v>0</v>
      </c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0</v>
      </c>
      <c r="G128" s="24" t="s">
        <v>286</v>
      </c>
      <c r="H128" s="18">
        <v>0</v>
      </c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>
        <v>0</v>
      </c>
      <c r="G129" s="24" t="s">
        <v>286</v>
      </c>
      <c r="H129" s="18">
        <v>0</v>
      </c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>
        <v>0</v>
      </c>
      <c r="G130" s="24" t="s">
        <v>286</v>
      </c>
      <c r="H130" s="18">
        <v>0</v>
      </c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>
        <v>0</v>
      </c>
      <c r="G131" s="24" t="s">
        <v>286</v>
      </c>
      <c r="H131" s="18">
        <v>0</v>
      </c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2029.17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>
        <v>0</v>
      </c>
      <c r="G133" s="24" t="s">
        <v>286</v>
      </c>
      <c r="H133" s="18">
        <v>0</v>
      </c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>
        <v>0</v>
      </c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>
        <v>0</v>
      </c>
      <c r="G135" s="18">
        <v>0</v>
      </c>
      <c r="H135" s="18">
        <f>32000+12500</f>
        <v>44500</v>
      </c>
      <c r="I135" s="18">
        <v>0</v>
      </c>
      <c r="J135" s="18">
        <v>0</v>
      </c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97689.02</v>
      </c>
      <c r="G136" s="41">
        <f>SUM(G123:G135)</f>
        <v>2029.17</v>
      </c>
      <c r="H136" s="41">
        <f>SUM(H123:H135)</f>
        <v>44500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>
        <v>0</v>
      </c>
      <c r="G137" s="18">
        <v>0</v>
      </c>
      <c r="H137" s="18">
        <v>0</v>
      </c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>
        <v>0</v>
      </c>
      <c r="G138" s="24" t="s">
        <v>286</v>
      </c>
      <c r="H138" s="18">
        <v>0</v>
      </c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2212971.8700000006</v>
      </c>
      <c r="G140" s="41">
        <f>G121+SUM(G136:G137)</f>
        <v>2029.17</v>
      </c>
      <c r="H140" s="41">
        <f>H121+SUM(H136:H139)</f>
        <v>44500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>
        <v>0</v>
      </c>
      <c r="G150" s="24" t="s">
        <v>286</v>
      </c>
      <c r="H150" s="18">
        <v>0</v>
      </c>
      <c r="I150" s="18">
        <v>0</v>
      </c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>
        <v>0</v>
      </c>
      <c r="G151" s="24" t="s">
        <v>286</v>
      </c>
      <c r="H151" s="18">
        <v>0</v>
      </c>
      <c r="I151" s="18">
        <v>0</v>
      </c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>
        <v>0</v>
      </c>
      <c r="G152" s="24" t="s">
        <v>286</v>
      </c>
      <c r="H152" s="18">
        <v>0</v>
      </c>
      <c r="I152" s="18">
        <v>0</v>
      </c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0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56653.79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>
        <v>0</v>
      </c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>
        <v>0</v>
      </c>
      <c r="G157" s="24" t="s">
        <v>286</v>
      </c>
      <c r="H157" s="18">
        <v>0</v>
      </c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57798.080000000002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>
        <v>0</v>
      </c>
      <c r="G159" s="24" t="s">
        <v>286</v>
      </c>
      <c r="H159" s="18">
        <v>0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>
        <v>72146.45</v>
      </c>
      <c r="G160" s="24" t="s">
        <v>286</v>
      </c>
      <c r="H160" s="18">
        <v>0</v>
      </c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72146.45</v>
      </c>
      <c r="G162" s="41">
        <f>SUM(G150:G161)</f>
        <v>57798.080000000002</v>
      </c>
      <c r="H162" s="41">
        <f>SUM(H150:H161)</f>
        <v>56653.79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0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>
        <v>0</v>
      </c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>
        <v>0</v>
      </c>
      <c r="G168" s="18">
        <v>0</v>
      </c>
      <c r="H168" s="18">
        <v>0</v>
      </c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72146.45</v>
      </c>
      <c r="G169" s="41">
        <f>G147+G162+SUM(G163:G168)</f>
        <v>57798.080000000002</v>
      </c>
      <c r="H169" s="41">
        <f>H147+H162+SUM(H163:H168)</f>
        <v>56653.79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>
        <v>0</v>
      </c>
      <c r="G173" s="24" t="s">
        <v>286</v>
      </c>
      <c r="H173" s="24" t="s">
        <v>286</v>
      </c>
      <c r="I173" s="18">
        <v>0</v>
      </c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>
        <v>0</v>
      </c>
      <c r="G174" s="24" t="s">
        <v>286</v>
      </c>
      <c r="H174" s="24" t="s">
        <v>286</v>
      </c>
      <c r="I174" s="18">
        <v>0</v>
      </c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>
        <v>0</v>
      </c>
      <c r="G175" s="24" t="s">
        <v>286</v>
      </c>
      <c r="H175" s="24" t="s">
        <v>286</v>
      </c>
      <c r="I175" s="18">
        <v>0</v>
      </c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>
        <v>0</v>
      </c>
      <c r="G176" s="24" t="s">
        <v>286</v>
      </c>
      <c r="H176" s="24" t="s">
        <v>286</v>
      </c>
      <c r="I176" s="18">
        <v>0</v>
      </c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0</v>
      </c>
      <c r="H179" s="18">
        <v>0</v>
      </c>
      <c r="I179" s="18">
        <v>0</v>
      </c>
      <c r="J179" s="18">
        <v>50000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>
        <v>0</v>
      </c>
      <c r="G180" s="24" t="s">
        <v>286</v>
      </c>
      <c r="H180" s="18">
        <v>0</v>
      </c>
      <c r="I180" s="18">
        <v>0</v>
      </c>
      <c r="J180" s="18">
        <v>0</v>
      </c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>
        <v>0</v>
      </c>
      <c r="G181" s="18">
        <v>0</v>
      </c>
      <c r="H181" s="24" t="s">
        <v>286</v>
      </c>
      <c r="I181" s="18">
        <v>0</v>
      </c>
      <c r="J181" s="18">
        <v>0</v>
      </c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>
        <v>0</v>
      </c>
      <c r="G182" s="18">
        <v>0</v>
      </c>
      <c r="H182" s="18">
        <v>0</v>
      </c>
      <c r="I182" s="24" t="s">
        <v>286</v>
      </c>
      <c r="J182" s="18">
        <v>0</v>
      </c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50000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50000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7439995.5100000007</v>
      </c>
      <c r="G193" s="47">
        <f>G112+G140+G169+G192</f>
        <v>136267.35</v>
      </c>
      <c r="H193" s="47">
        <f>H112+H140+H169+H192</f>
        <v>102153.79000000001</v>
      </c>
      <c r="I193" s="47">
        <f>I112+I140+I169+I192</f>
        <v>0</v>
      </c>
      <c r="J193" s="47">
        <f>J112+J140+J192</f>
        <v>50036.76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1856855.06</v>
      </c>
      <c r="G197" s="18">
        <v>907367.12</v>
      </c>
      <c r="H197" s="18">
        <v>106838.15</v>
      </c>
      <c r="I197" s="18">
        <v>96335.93</v>
      </c>
      <c r="J197" s="18">
        <v>10253.51</v>
      </c>
      <c r="K197" s="18">
        <v>829.79</v>
      </c>
      <c r="L197" s="19">
        <f>SUM(F197:K197)</f>
        <v>2978479.56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830955.62</v>
      </c>
      <c r="G198" s="18">
        <v>277602.19</v>
      </c>
      <c r="H198" s="18">
        <v>249436.32</v>
      </c>
      <c r="I198" s="18">
        <v>7373.26</v>
      </c>
      <c r="J198" s="18">
        <v>0</v>
      </c>
      <c r="K198" s="18">
        <v>12871.91</v>
      </c>
      <c r="L198" s="19">
        <f>SUM(F198:K198)</f>
        <v>1378239.3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14701</v>
      </c>
      <c r="G200" s="18">
        <v>3337.25</v>
      </c>
      <c r="H200" s="18">
        <v>0</v>
      </c>
      <c r="I200" s="18">
        <v>500</v>
      </c>
      <c r="J200" s="18">
        <v>0</v>
      </c>
      <c r="K200" s="18">
        <v>0</v>
      </c>
      <c r="L200" s="19">
        <f>SUM(F200:K200)</f>
        <v>18538.25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272219.28999999998</v>
      </c>
      <c r="G202" s="18">
        <v>135967.47</v>
      </c>
      <c r="H202" s="18">
        <v>163865.24</v>
      </c>
      <c r="I202" s="18">
        <v>2466.7600000000002</v>
      </c>
      <c r="J202" s="18">
        <v>1365.72</v>
      </c>
      <c r="K202" s="18">
        <v>0</v>
      </c>
      <c r="L202" s="19">
        <f t="shared" ref="L202:L208" si="0">SUM(F202:K202)</f>
        <v>575884.48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156416.56</v>
      </c>
      <c r="G203" s="18">
        <v>63760.89</v>
      </c>
      <c r="H203" s="18">
        <v>10588.71</v>
      </c>
      <c r="I203" s="18">
        <v>18922.439999999999</v>
      </c>
      <c r="J203" s="18">
        <v>15769.48</v>
      </c>
      <c r="K203" s="18">
        <v>29872.35</v>
      </c>
      <c r="L203" s="19">
        <f t="shared" si="0"/>
        <v>295330.43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7300</v>
      </c>
      <c r="G204" s="18">
        <v>558.47</v>
      </c>
      <c r="H204" s="18">
        <v>266900.17</v>
      </c>
      <c r="I204" s="18">
        <v>1246.2</v>
      </c>
      <c r="J204" s="18">
        <v>0</v>
      </c>
      <c r="K204" s="18">
        <v>11420.56</v>
      </c>
      <c r="L204" s="19">
        <f t="shared" si="0"/>
        <v>287425.39999999997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312149.98</v>
      </c>
      <c r="G205" s="18">
        <v>124515.18</v>
      </c>
      <c r="H205" s="18">
        <v>20291.419999999998</v>
      </c>
      <c r="I205" s="18">
        <v>947.02</v>
      </c>
      <c r="J205" s="18">
        <v>0</v>
      </c>
      <c r="K205" s="18">
        <v>2039</v>
      </c>
      <c r="L205" s="19">
        <f t="shared" si="0"/>
        <v>459942.6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>
        <v>0</v>
      </c>
      <c r="G206" s="18">
        <v>0</v>
      </c>
      <c r="H206" s="18">
        <v>0</v>
      </c>
      <c r="I206" s="18"/>
      <c r="J206" s="18">
        <v>0</v>
      </c>
      <c r="K206" s="18">
        <v>0</v>
      </c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161812.18</v>
      </c>
      <c r="G207" s="18">
        <v>91317.08</v>
      </c>
      <c r="H207" s="18">
        <v>278996.17</v>
      </c>
      <c r="I207" s="18">
        <v>124124.62</v>
      </c>
      <c r="J207" s="18">
        <v>3364.89</v>
      </c>
      <c r="K207" s="18">
        <v>0</v>
      </c>
      <c r="L207" s="19">
        <f t="shared" si="0"/>
        <v>659614.93999999994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>
        <v>0</v>
      </c>
      <c r="H208" s="18">
        <v>403438.18</v>
      </c>
      <c r="I208" s="18">
        <v>0</v>
      </c>
      <c r="J208" s="18">
        <v>0</v>
      </c>
      <c r="K208" s="18">
        <v>0</v>
      </c>
      <c r="L208" s="19">
        <f t="shared" si="0"/>
        <v>403438.18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>
        <v>0</v>
      </c>
      <c r="G209" s="18">
        <v>0</v>
      </c>
      <c r="H209" s="18">
        <v>0</v>
      </c>
      <c r="I209" s="18">
        <v>0</v>
      </c>
      <c r="J209" s="18">
        <v>0</v>
      </c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3612409.6900000004</v>
      </c>
      <c r="G211" s="41">
        <f t="shared" si="1"/>
        <v>1604425.65</v>
      </c>
      <c r="H211" s="41">
        <f t="shared" si="1"/>
        <v>1500354.3599999999</v>
      </c>
      <c r="I211" s="41">
        <f t="shared" si="1"/>
        <v>251916.22999999998</v>
      </c>
      <c r="J211" s="41">
        <f t="shared" si="1"/>
        <v>30753.599999999999</v>
      </c>
      <c r="K211" s="41">
        <f t="shared" si="1"/>
        <v>57033.61</v>
      </c>
      <c r="L211" s="41">
        <f t="shared" si="1"/>
        <v>7056893.1399999987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/>
      <c r="I233" s="18"/>
      <c r="J233" s="18"/>
      <c r="K233" s="18"/>
      <c r="L233" s="19">
        <f>SUM(F233:K233)</f>
        <v>0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0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0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>
        <v>0</v>
      </c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3612409.6900000004</v>
      </c>
      <c r="G257" s="41">
        <f t="shared" si="8"/>
        <v>1604425.65</v>
      </c>
      <c r="H257" s="41">
        <f t="shared" si="8"/>
        <v>1500354.3599999999</v>
      </c>
      <c r="I257" s="41">
        <f t="shared" si="8"/>
        <v>251916.22999999998</v>
      </c>
      <c r="J257" s="41">
        <f t="shared" si="8"/>
        <v>30753.599999999999</v>
      </c>
      <c r="K257" s="41">
        <f t="shared" si="8"/>
        <v>57033.61</v>
      </c>
      <c r="L257" s="41">
        <f t="shared" si="8"/>
        <v>7056893.1399999987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0</v>
      </c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0</v>
      </c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0</v>
      </c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0</v>
      </c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>
        <v>0</v>
      </c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50000</v>
      </c>
      <c r="L266" s="19">
        <f t="shared" si="9"/>
        <v>50000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>
        <v>0</v>
      </c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50000</v>
      </c>
      <c r="L270" s="41">
        <f t="shared" si="9"/>
        <v>50000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3612409.6900000004</v>
      </c>
      <c r="G271" s="42">
        <f t="shared" si="11"/>
        <v>1604425.65</v>
      </c>
      <c r="H271" s="42">
        <f t="shared" si="11"/>
        <v>1500354.3599999999</v>
      </c>
      <c r="I271" s="42">
        <f t="shared" si="11"/>
        <v>251916.22999999998</v>
      </c>
      <c r="J271" s="42">
        <f t="shared" si="11"/>
        <v>30753.599999999999</v>
      </c>
      <c r="K271" s="42">
        <f t="shared" si="11"/>
        <v>107033.61</v>
      </c>
      <c r="L271" s="42">
        <f t="shared" si="11"/>
        <v>7106893.1399999987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8995.92</v>
      </c>
      <c r="G276" s="18">
        <v>1900.73</v>
      </c>
      <c r="H276" s="18">
        <v>0</v>
      </c>
      <c r="I276" s="18">
        <v>0</v>
      </c>
      <c r="J276" s="18">
        <v>0</v>
      </c>
      <c r="K276" s="18">
        <v>10697.47</v>
      </c>
      <c r="L276" s="19">
        <f>SUM(F276:K276)</f>
        <v>21594.12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0</v>
      </c>
      <c r="G277" s="18">
        <v>0</v>
      </c>
      <c r="H277" s="18">
        <v>0</v>
      </c>
      <c r="I277" s="18">
        <v>0</v>
      </c>
      <c r="J277" s="18">
        <v>0</v>
      </c>
      <c r="K277" s="18">
        <v>0</v>
      </c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>
        <v>0</v>
      </c>
      <c r="G279" s="18">
        <v>0</v>
      </c>
      <c r="H279" s="18">
        <v>0</v>
      </c>
      <c r="I279" s="18">
        <v>0</v>
      </c>
      <c r="J279" s="18">
        <v>0</v>
      </c>
      <c r="K279" s="18">
        <v>225</v>
      </c>
      <c r="L279" s="19">
        <f>SUM(F279:K279)</f>
        <v>225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>
        <v>0</v>
      </c>
      <c r="G281" s="18">
        <v>0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>
        <v>15454.52</v>
      </c>
      <c r="G282" s="18">
        <v>15774.17</v>
      </c>
      <c r="H282" s="18">
        <v>14900.65</v>
      </c>
      <c r="I282" s="18">
        <v>104.24</v>
      </c>
      <c r="J282" s="18">
        <v>0</v>
      </c>
      <c r="K282" s="18">
        <v>0</v>
      </c>
      <c r="L282" s="19">
        <f t="shared" si="12"/>
        <v>46233.58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826.09</v>
      </c>
      <c r="L283" s="19">
        <f t="shared" si="12"/>
        <v>826.09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>
        <v>0</v>
      </c>
      <c r="G285" s="18">
        <v>0</v>
      </c>
      <c r="H285" s="18">
        <v>0</v>
      </c>
      <c r="I285" s="18">
        <v>0</v>
      </c>
      <c r="J285" s="18">
        <v>0</v>
      </c>
      <c r="K285" s="18">
        <v>0</v>
      </c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>
        <v>0</v>
      </c>
      <c r="G286" s="18">
        <v>0</v>
      </c>
      <c r="H286" s="18">
        <v>32000</v>
      </c>
      <c r="I286" s="18">
        <v>0</v>
      </c>
      <c r="J286" s="18">
        <v>0</v>
      </c>
      <c r="K286" s="18">
        <v>0</v>
      </c>
      <c r="L286" s="19">
        <f t="shared" si="12"/>
        <v>32000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>
        <v>0</v>
      </c>
      <c r="G287" s="18">
        <v>0</v>
      </c>
      <c r="H287" s="18">
        <v>0</v>
      </c>
      <c r="I287" s="18">
        <v>0</v>
      </c>
      <c r="J287" s="18">
        <v>0</v>
      </c>
      <c r="K287" s="18">
        <v>0</v>
      </c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24450.440000000002</v>
      </c>
      <c r="G290" s="42">
        <f t="shared" si="13"/>
        <v>17674.900000000001</v>
      </c>
      <c r="H290" s="42">
        <f t="shared" si="13"/>
        <v>46900.65</v>
      </c>
      <c r="I290" s="42">
        <f t="shared" si="13"/>
        <v>104.24</v>
      </c>
      <c r="J290" s="42">
        <f t="shared" si="13"/>
        <v>0</v>
      </c>
      <c r="K290" s="42">
        <f t="shared" si="13"/>
        <v>11748.56</v>
      </c>
      <c r="L290" s="41">
        <f t="shared" si="13"/>
        <v>100878.79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>
        <v>0</v>
      </c>
      <c r="G335" s="18">
        <v>0</v>
      </c>
      <c r="H335" s="18">
        <v>0</v>
      </c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24450.440000000002</v>
      </c>
      <c r="G338" s="41">
        <f t="shared" si="20"/>
        <v>17674.900000000001</v>
      </c>
      <c r="H338" s="41">
        <f t="shared" si="20"/>
        <v>46900.65</v>
      </c>
      <c r="I338" s="41">
        <f t="shared" si="20"/>
        <v>104.24</v>
      </c>
      <c r="J338" s="41">
        <f t="shared" si="20"/>
        <v>0</v>
      </c>
      <c r="K338" s="41">
        <f t="shared" si="20"/>
        <v>11748.56</v>
      </c>
      <c r="L338" s="41">
        <f t="shared" si="20"/>
        <v>100878.79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>
        <v>0</v>
      </c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24450.440000000002</v>
      </c>
      <c r="G352" s="41">
        <f>G338</f>
        <v>17674.900000000001</v>
      </c>
      <c r="H352" s="41">
        <f>H338</f>
        <v>46900.65</v>
      </c>
      <c r="I352" s="41">
        <f>I338</f>
        <v>104.24</v>
      </c>
      <c r="J352" s="41">
        <f>J338</f>
        <v>0</v>
      </c>
      <c r="K352" s="47">
        <f>K338+K351</f>
        <v>11748.56</v>
      </c>
      <c r="L352" s="41">
        <f>L338+L351</f>
        <v>100878.79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0</v>
      </c>
      <c r="G358" s="18">
        <v>0</v>
      </c>
      <c r="H358" s="18">
        <v>138935.6</v>
      </c>
      <c r="I358" s="18">
        <v>1078.79</v>
      </c>
      <c r="J358" s="18">
        <v>0</v>
      </c>
      <c r="K358" s="18">
        <v>157.80000000000001</v>
      </c>
      <c r="L358" s="13">
        <f>SUM(F358:K358)</f>
        <v>140172.19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138935.6</v>
      </c>
      <c r="I362" s="47">
        <f t="shared" si="22"/>
        <v>1078.79</v>
      </c>
      <c r="J362" s="47">
        <f t="shared" si="22"/>
        <v>0</v>
      </c>
      <c r="K362" s="47">
        <f t="shared" si="22"/>
        <v>157.80000000000001</v>
      </c>
      <c r="L362" s="47">
        <f t="shared" si="22"/>
        <v>140172.19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0</v>
      </c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1078.79</v>
      </c>
      <c r="G368" s="63"/>
      <c r="H368" s="63"/>
      <c r="I368" s="56">
        <f>SUM(F368:H368)</f>
        <v>1078.79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1078.79</v>
      </c>
      <c r="G369" s="47">
        <f>SUM(G367:G368)</f>
        <v>0</v>
      </c>
      <c r="H369" s="47">
        <f>SUM(H367:H368)</f>
        <v>0</v>
      </c>
      <c r="I369" s="47">
        <f>SUM(I367:I368)</f>
        <v>1078.79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>
        <v>0</v>
      </c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>
        <v>50000</v>
      </c>
      <c r="H396" s="18">
        <v>12.08</v>
      </c>
      <c r="I396" s="18"/>
      <c r="J396" s="24" t="s">
        <v>286</v>
      </c>
      <c r="K396" s="24" t="s">
        <v>286</v>
      </c>
      <c r="L396" s="56">
        <f t="shared" si="26"/>
        <v>50012.08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>
        <v>0</v>
      </c>
      <c r="H397" s="18">
        <v>21.18</v>
      </c>
      <c r="I397" s="18"/>
      <c r="J397" s="24" t="s">
        <v>286</v>
      </c>
      <c r="K397" s="24" t="s">
        <v>286</v>
      </c>
      <c r="L397" s="56">
        <f t="shared" si="26"/>
        <v>21.18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>
        <v>0</v>
      </c>
      <c r="H399" s="18">
        <v>3.5</v>
      </c>
      <c r="I399" s="18"/>
      <c r="J399" s="24" t="s">
        <v>286</v>
      </c>
      <c r="K399" s="24" t="s">
        <v>286</v>
      </c>
      <c r="L399" s="56">
        <f t="shared" si="26"/>
        <v>3.5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50000</v>
      </c>
      <c r="H401" s="47">
        <f>SUM(H395:H400)</f>
        <v>36.76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50036.76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50000</v>
      </c>
      <c r="H408" s="47">
        <f>H393+H401+H407</f>
        <v>36.76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50036.76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>
        <v>77903</v>
      </c>
      <c r="I422" s="18"/>
      <c r="J422" s="18"/>
      <c r="K422" s="18"/>
      <c r="L422" s="56">
        <f t="shared" si="29"/>
        <v>77903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>
        <v>22123.439999999999</v>
      </c>
      <c r="I425" s="18"/>
      <c r="J425" s="18"/>
      <c r="K425" s="18"/>
      <c r="L425" s="56">
        <f t="shared" si="29"/>
        <v>22123.439999999999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100026.44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100026.44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100026.44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100026.44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>
        <v>337439.79</v>
      </c>
      <c r="H439" s="18"/>
      <c r="I439" s="56">
        <f t="shared" ref="I439:I445" si="33">SUM(F439:H439)</f>
        <v>337439.79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337439.79</v>
      </c>
      <c r="H446" s="13">
        <f>SUM(H439:H445)</f>
        <v>0</v>
      </c>
      <c r="I446" s="13">
        <f>SUM(I439:I445)</f>
        <v>337439.79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>
        <v>0</v>
      </c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>
        <v>0</v>
      </c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>
        <v>0</v>
      </c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337439.79</v>
      </c>
      <c r="H459" s="18"/>
      <c r="I459" s="56">
        <f t="shared" si="34"/>
        <v>337439.79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337439.79</v>
      </c>
      <c r="H460" s="83">
        <f>SUM(H454:H459)</f>
        <v>0</v>
      </c>
      <c r="I460" s="83">
        <f>SUM(I454:I459)</f>
        <v>337439.79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337439.79</v>
      </c>
      <c r="H461" s="42">
        <f>H452+H460</f>
        <v>0</v>
      </c>
      <c r="I461" s="42">
        <f>I452+I460</f>
        <v>337439.79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332473.48</v>
      </c>
      <c r="G465" s="18">
        <v>28087.81</v>
      </c>
      <c r="H465" s="18">
        <v>0</v>
      </c>
      <c r="I465" s="18">
        <v>0</v>
      </c>
      <c r="J465" s="18">
        <v>387429.47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7439995.5099999998</v>
      </c>
      <c r="G468" s="18">
        <v>136267.35</v>
      </c>
      <c r="H468" s="18">
        <v>102153.79</v>
      </c>
      <c r="I468" s="18">
        <v>0</v>
      </c>
      <c r="J468" s="18">
        <v>50036.76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>
        <f>2252.02</f>
        <v>2252.02</v>
      </c>
      <c r="G469" s="18">
        <v>3296.05</v>
      </c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7442247.5299999993</v>
      </c>
      <c r="G470" s="53">
        <f>SUM(G468:G469)</f>
        <v>139563.4</v>
      </c>
      <c r="H470" s="53">
        <f>SUM(H468:H469)</f>
        <v>102153.79</v>
      </c>
      <c r="I470" s="53">
        <f>SUM(I468:I469)</f>
        <v>0</v>
      </c>
      <c r="J470" s="53">
        <f>SUM(J468:J469)</f>
        <v>50036.76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7106893.1399999997</v>
      </c>
      <c r="G472" s="18">
        <v>140172.19</v>
      </c>
      <c r="H472" s="18">
        <v>100878.79</v>
      </c>
      <c r="I472" s="18">
        <v>0</v>
      </c>
      <c r="J472" s="18">
        <v>100026.44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>
        <v>1543.65</v>
      </c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7108436.79</v>
      </c>
      <c r="G474" s="53">
        <f>SUM(G472:G473)</f>
        <v>140172.19</v>
      </c>
      <c r="H474" s="53">
        <f>SUM(H472:H473)</f>
        <v>100878.79</v>
      </c>
      <c r="I474" s="53">
        <f>SUM(I472:I473)</f>
        <v>0</v>
      </c>
      <c r="J474" s="53">
        <f>SUM(J472:J473)</f>
        <v>100026.44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666284.21999999974</v>
      </c>
      <c r="G476" s="53">
        <f>(G465+G470)- G474</f>
        <v>27479.01999999999</v>
      </c>
      <c r="H476" s="53">
        <f>(H465+H470)- H474</f>
        <v>1275</v>
      </c>
      <c r="I476" s="53">
        <f>(I465+I470)- I474</f>
        <v>0</v>
      </c>
      <c r="J476" s="53">
        <f>(J465+J470)- J474</f>
        <v>337439.79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 t="s">
        <v>915</v>
      </c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 t="s">
        <v>914</v>
      </c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 t="s">
        <v>913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0</v>
      </c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830955.62</v>
      </c>
      <c r="G521" s="18">
        <v>277602.19</v>
      </c>
      <c r="H521" s="18">
        <v>249436.32</v>
      </c>
      <c r="I521" s="18">
        <v>7373.26</v>
      </c>
      <c r="J521" s="18">
        <v>0</v>
      </c>
      <c r="K521" s="18">
        <v>12871.91</v>
      </c>
      <c r="L521" s="88">
        <f>SUM(F521:K521)</f>
        <v>1378239.3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830955.62</v>
      </c>
      <c r="G524" s="108">
        <f t="shared" ref="G524:L524" si="36">SUM(G521:G523)</f>
        <v>277602.19</v>
      </c>
      <c r="H524" s="108">
        <f t="shared" si="36"/>
        <v>249436.32</v>
      </c>
      <c r="I524" s="108">
        <f t="shared" si="36"/>
        <v>7373.26</v>
      </c>
      <c r="J524" s="108">
        <f t="shared" si="36"/>
        <v>0</v>
      </c>
      <c r="K524" s="108">
        <f t="shared" si="36"/>
        <v>12871.91</v>
      </c>
      <c r="L524" s="89">
        <f t="shared" si="36"/>
        <v>1378239.3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>
        <v>97127.8</v>
      </c>
      <c r="G526" s="18">
        <v>42446.23</v>
      </c>
      <c r="H526" s="18">
        <v>163736.24</v>
      </c>
      <c r="I526" s="18">
        <v>663.54</v>
      </c>
      <c r="J526" s="18">
        <v>1365.72</v>
      </c>
      <c r="K526" s="18">
        <v>0</v>
      </c>
      <c r="L526" s="88">
        <f>SUM(F526:K526)</f>
        <v>305339.52999999997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97127.8</v>
      </c>
      <c r="G529" s="89">
        <f t="shared" ref="G529:L529" si="37">SUM(G526:G528)</f>
        <v>42446.23</v>
      </c>
      <c r="H529" s="89">
        <f t="shared" si="37"/>
        <v>163736.24</v>
      </c>
      <c r="I529" s="89">
        <f t="shared" si="37"/>
        <v>663.54</v>
      </c>
      <c r="J529" s="89">
        <f t="shared" si="37"/>
        <v>1365.72</v>
      </c>
      <c r="K529" s="89">
        <f t="shared" si="37"/>
        <v>0</v>
      </c>
      <c r="L529" s="89">
        <f t="shared" si="37"/>
        <v>305339.52999999997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19166.8</v>
      </c>
      <c r="G531" s="18">
        <v>4325.29</v>
      </c>
      <c r="H531" s="18"/>
      <c r="I531" s="18"/>
      <c r="J531" s="18"/>
      <c r="K531" s="18">
        <v>168.74</v>
      </c>
      <c r="L531" s="88">
        <f>SUM(F531:K531)</f>
        <v>23660.83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19166.8</v>
      </c>
      <c r="G534" s="89">
        <f t="shared" ref="G534:L534" si="38">SUM(G531:G533)</f>
        <v>4325.29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168.74</v>
      </c>
      <c r="L534" s="89">
        <f t="shared" si="38"/>
        <v>23660.83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>
        <v>262.26</v>
      </c>
      <c r="I536" s="18"/>
      <c r="J536" s="18"/>
      <c r="K536" s="18"/>
      <c r="L536" s="88">
        <f>SUM(F536:K536)</f>
        <v>262.26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262.26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262.26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>
        <v>180349.95</v>
      </c>
      <c r="I541" s="18"/>
      <c r="J541" s="18"/>
      <c r="K541" s="18"/>
      <c r="L541" s="88">
        <f>SUM(F541:K541)</f>
        <v>180349.95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180349.95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180349.95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947250.22000000009</v>
      </c>
      <c r="G545" s="89">
        <f t="shared" ref="G545:L545" si="41">G524+G529+G534+G539+G544</f>
        <v>324373.70999999996</v>
      </c>
      <c r="H545" s="89">
        <f t="shared" si="41"/>
        <v>593784.77</v>
      </c>
      <c r="I545" s="89">
        <f t="shared" si="41"/>
        <v>8036.8</v>
      </c>
      <c r="J545" s="89">
        <f t="shared" si="41"/>
        <v>1365.72</v>
      </c>
      <c r="K545" s="89">
        <f t="shared" si="41"/>
        <v>13040.65</v>
      </c>
      <c r="L545" s="89">
        <f t="shared" si="41"/>
        <v>1887851.87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1378239.3</v>
      </c>
      <c r="G549" s="87">
        <f>L526</f>
        <v>305339.52999999997</v>
      </c>
      <c r="H549" s="87">
        <f>L531</f>
        <v>23660.83</v>
      </c>
      <c r="I549" s="87">
        <f>L536</f>
        <v>262.26</v>
      </c>
      <c r="J549" s="87">
        <f>L541</f>
        <v>180349.95</v>
      </c>
      <c r="K549" s="87">
        <f>SUM(F549:J549)</f>
        <v>1887851.87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1378239.3</v>
      </c>
      <c r="G552" s="89">
        <f t="shared" si="42"/>
        <v>305339.52999999997</v>
      </c>
      <c r="H552" s="89">
        <f t="shared" si="42"/>
        <v>23660.83</v>
      </c>
      <c r="I552" s="89">
        <f t="shared" si="42"/>
        <v>262.26</v>
      </c>
      <c r="J552" s="89">
        <f t="shared" si="42"/>
        <v>180349.95</v>
      </c>
      <c r="K552" s="89">
        <f t="shared" si="42"/>
        <v>1887851.87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>
        <v>0</v>
      </c>
      <c r="G562" s="18">
        <v>0</v>
      </c>
      <c r="H562" s="18">
        <v>0</v>
      </c>
      <c r="I562" s="18">
        <v>0</v>
      </c>
      <c r="J562" s="18">
        <v>0</v>
      </c>
      <c r="K562" s="18">
        <v>0</v>
      </c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>
        <v>48450.93</v>
      </c>
      <c r="G567" s="18">
        <v>24020.67</v>
      </c>
      <c r="H567" s="18">
        <v>0</v>
      </c>
      <c r="I567" s="18">
        <v>404.56</v>
      </c>
      <c r="J567" s="18">
        <v>0</v>
      </c>
      <c r="K567" s="18">
        <v>5895</v>
      </c>
      <c r="L567" s="88">
        <f>SUM(F567:K567)</f>
        <v>78771.16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48450.93</v>
      </c>
      <c r="G570" s="193">
        <f t="shared" ref="G570:L570" si="45">SUM(G567:G569)</f>
        <v>24020.67</v>
      </c>
      <c r="H570" s="193">
        <f t="shared" si="45"/>
        <v>0</v>
      </c>
      <c r="I570" s="193">
        <f t="shared" si="45"/>
        <v>404.56</v>
      </c>
      <c r="J570" s="193">
        <f t="shared" si="45"/>
        <v>0</v>
      </c>
      <c r="K570" s="193">
        <f t="shared" si="45"/>
        <v>5895</v>
      </c>
      <c r="L570" s="193">
        <f t="shared" si="45"/>
        <v>78771.16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48450.93</v>
      </c>
      <c r="G571" s="89">
        <f t="shared" ref="G571:L571" si="46">G560+G565+G570</f>
        <v>24020.67</v>
      </c>
      <c r="H571" s="89">
        <f t="shared" si="46"/>
        <v>0</v>
      </c>
      <c r="I571" s="89">
        <f t="shared" si="46"/>
        <v>404.56</v>
      </c>
      <c r="J571" s="89">
        <f t="shared" si="46"/>
        <v>0</v>
      </c>
      <c r="K571" s="89">
        <f t="shared" si="46"/>
        <v>5895</v>
      </c>
      <c r="L571" s="89">
        <f t="shared" si="46"/>
        <v>78771.16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0</v>
      </c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>
        <v>0</v>
      </c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>
        <v>0</v>
      </c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>
        <v>0</v>
      </c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>
        <v>0</v>
      </c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>
        <v>231192.37</v>
      </c>
      <c r="G582" s="18"/>
      <c r="H582" s="18"/>
      <c r="I582" s="87">
        <f t="shared" si="47"/>
        <v>231192.37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>
        <v>0</v>
      </c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>
        <v>0</v>
      </c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>
        <v>0</v>
      </c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>
        <v>0</v>
      </c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211608.83</v>
      </c>
      <c r="I591" s="18"/>
      <c r="J591" s="18"/>
      <c r="K591" s="104">
        <f t="shared" ref="K591:K597" si="48">SUM(H591:J591)</f>
        <v>211608.83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>
        <v>180349.95</v>
      </c>
      <c r="I592" s="18"/>
      <c r="J592" s="18"/>
      <c r="K592" s="104">
        <f t="shared" si="48"/>
        <v>180349.95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>
        <v>0</v>
      </c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>
        <v>0</v>
      </c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2495.0700000000002</v>
      </c>
      <c r="I595" s="18"/>
      <c r="J595" s="18"/>
      <c r="K595" s="104">
        <f t="shared" si="48"/>
        <v>2495.0700000000002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>
        <v>0</v>
      </c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>
        <v>8984.33</v>
      </c>
      <c r="I597" s="18"/>
      <c r="J597" s="18"/>
      <c r="K597" s="104">
        <f t="shared" si="48"/>
        <v>8984.33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403438.18000000005</v>
      </c>
      <c r="I598" s="108">
        <f>SUM(I591:I597)</f>
        <v>0</v>
      </c>
      <c r="J598" s="108">
        <f>SUM(J591:J597)</f>
        <v>0</v>
      </c>
      <c r="K598" s="108">
        <f>SUM(K591:K597)</f>
        <v>403438.18000000005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>
        <v>0</v>
      </c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>
        <v>0</v>
      </c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30753.599999999999</v>
      </c>
      <c r="I604" s="18"/>
      <c r="J604" s="18"/>
      <c r="K604" s="104">
        <f>SUM(H604:J604)</f>
        <v>30753.599999999999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30753.599999999999</v>
      </c>
      <c r="I605" s="108">
        <f>SUM(I602:I604)</f>
        <v>0</v>
      </c>
      <c r="J605" s="108">
        <f>SUM(J602:J604)</f>
        <v>0</v>
      </c>
      <c r="K605" s="108">
        <f>SUM(K602:K604)</f>
        <v>30753.599999999999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13677.5</v>
      </c>
      <c r="G611" s="18">
        <v>2482.46</v>
      </c>
      <c r="H611" s="18">
        <v>2185.2600000000002</v>
      </c>
      <c r="I611" s="18">
        <v>146.01</v>
      </c>
      <c r="J611" s="18">
        <v>0</v>
      </c>
      <c r="K611" s="18">
        <v>0</v>
      </c>
      <c r="L611" s="88">
        <f>SUM(F611:K611)</f>
        <v>18491.23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13677.5</v>
      </c>
      <c r="G614" s="108">
        <f t="shared" si="49"/>
        <v>2482.46</v>
      </c>
      <c r="H614" s="108">
        <f t="shared" si="49"/>
        <v>2185.2600000000002</v>
      </c>
      <c r="I614" s="108">
        <f t="shared" si="49"/>
        <v>146.01</v>
      </c>
      <c r="J614" s="108">
        <f t="shared" si="49"/>
        <v>0</v>
      </c>
      <c r="K614" s="108">
        <f t="shared" si="49"/>
        <v>0</v>
      </c>
      <c r="L614" s="89">
        <f t="shared" si="49"/>
        <v>18491.23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698841.06</v>
      </c>
      <c r="H617" s="109">
        <f>SUM(F52)</f>
        <v>698841.05999999994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31474.67</v>
      </c>
      <c r="H618" s="109">
        <f>SUM(G52)</f>
        <v>31474.670000000002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1275</v>
      </c>
      <c r="H619" s="109">
        <f>SUM(H52)</f>
        <v>1275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337439.79</v>
      </c>
      <c r="H621" s="109">
        <f>SUM(J52)</f>
        <v>337439.79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666284.22</v>
      </c>
      <c r="H622" s="109">
        <f>F476</f>
        <v>666284.21999999974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27479.02</v>
      </c>
      <c r="H623" s="109">
        <f>G476</f>
        <v>27479.01999999999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1275</v>
      </c>
      <c r="H624" s="109">
        <f>H476</f>
        <v>1275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337439.79</v>
      </c>
      <c r="H626" s="109">
        <f>J476</f>
        <v>337439.79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7439995.5100000007</v>
      </c>
      <c r="H627" s="104">
        <f>SUM(F468)</f>
        <v>7439995.5099999998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136267.35</v>
      </c>
      <c r="H628" s="104">
        <f>SUM(G468)</f>
        <v>136267.35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102153.79000000001</v>
      </c>
      <c r="H629" s="104">
        <f>SUM(H468)</f>
        <v>102153.79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50036.76</v>
      </c>
      <c r="H631" s="104">
        <f>SUM(J468)</f>
        <v>50036.76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7106893.1399999987</v>
      </c>
      <c r="H632" s="104">
        <f>SUM(F472)</f>
        <v>7106893.1399999997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100878.79</v>
      </c>
      <c r="H633" s="104">
        <f>SUM(H472)</f>
        <v>100878.79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1078.79</v>
      </c>
      <c r="H634" s="104">
        <f>I369</f>
        <v>1078.79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140172.19</v>
      </c>
      <c r="H635" s="104">
        <f>SUM(G472)</f>
        <v>140172.19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50036.76</v>
      </c>
      <c r="H637" s="164">
        <f>SUM(J468)</f>
        <v>50036.76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100026.44</v>
      </c>
      <c r="H638" s="164">
        <f>SUM(J472)</f>
        <v>100026.44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337439.79</v>
      </c>
      <c r="H640" s="104">
        <f>SUM(G461)</f>
        <v>337439.79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337439.79</v>
      </c>
      <c r="H642" s="104">
        <f>SUM(I461)</f>
        <v>337439.79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36.76</v>
      </c>
      <c r="H644" s="104">
        <f>H408</f>
        <v>36.76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50000</v>
      </c>
      <c r="H645" s="104">
        <f>G408</f>
        <v>50000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50036.76</v>
      </c>
      <c r="H646" s="104">
        <f>L408</f>
        <v>50036.76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403438.18000000005</v>
      </c>
      <c r="H647" s="104">
        <f>L208+L226+L244</f>
        <v>403438.18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30753.599999999999</v>
      </c>
      <c r="H648" s="104">
        <f>(J257+J338)-(J255+J336)</f>
        <v>30753.599999999999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403438.18</v>
      </c>
      <c r="H649" s="104">
        <f>H598</f>
        <v>403438.18000000005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50000</v>
      </c>
      <c r="H655" s="104">
        <f>K266+K347</f>
        <v>50000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7297944.1199999992</v>
      </c>
      <c r="G660" s="19">
        <f>(L229+L309+L359)</f>
        <v>0</v>
      </c>
      <c r="H660" s="19">
        <f>(L247+L328+L360)</f>
        <v>0</v>
      </c>
      <c r="I660" s="19">
        <f>SUM(F660:H660)</f>
        <v>7297944.1199999992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76440.100000000006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76440.100000000006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403438.18</v>
      </c>
      <c r="G662" s="19">
        <f>(L226+L306)-(J226+J306)</f>
        <v>0</v>
      </c>
      <c r="H662" s="19">
        <f>(L244+L325)-(J244+J325)</f>
        <v>0</v>
      </c>
      <c r="I662" s="19">
        <f>SUM(F662:H662)</f>
        <v>403438.18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280437.2</v>
      </c>
      <c r="G663" s="199">
        <f>SUM(G575:G587)+SUM(I602:I604)+L612</f>
        <v>0</v>
      </c>
      <c r="H663" s="199">
        <f>SUM(H575:H587)+SUM(J602:J604)+L613</f>
        <v>0</v>
      </c>
      <c r="I663" s="19">
        <f>SUM(F663:H663)</f>
        <v>280437.2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6537628.6399999987</v>
      </c>
      <c r="G664" s="19">
        <f>G660-SUM(G661:G663)</f>
        <v>0</v>
      </c>
      <c r="H664" s="19">
        <f>H660-SUM(H661:H663)</f>
        <v>0</v>
      </c>
      <c r="I664" s="19">
        <f>I660-SUM(I661:I663)</f>
        <v>6537628.6399999987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366.95</v>
      </c>
      <c r="G665" s="248"/>
      <c r="H665" s="248"/>
      <c r="I665" s="19">
        <f>SUM(F665:H665)</f>
        <v>366.95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17816.13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17816.13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17816.13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17816.13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headings="1" gridLines="1" gridLinesSet="0"/>
  <pageMargins left="0.3" right="0.3" top="0.45" bottom="0.56000000000000005" header="0.3" footer="0.33"/>
  <pageSetup scale="8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7" workbookViewId="0">
      <selection activeCell="F31" sqref="F3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HENNIKER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1865850.98</v>
      </c>
      <c r="C9" s="229">
        <f>'DOE25'!G197+'DOE25'!G215+'DOE25'!G233+'DOE25'!G276+'DOE25'!G295+'DOE25'!G314</f>
        <v>909267.85</v>
      </c>
    </row>
    <row r="10" spans="1:3" x14ac:dyDescent="0.2">
      <c r="A10" t="s">
        <v>773</v>
      </c>
      <c r="B10" s="240">
        <v>1739065.67</v>
      </c>
      <c r="C10" s="240">
        <v>899568.81</v>
      </c>
    </row>
    <row r="11" spans="1:3" x14ac:dyDescent="0.2">
      <c r="A11" t="s">
        <v>774</v>
      </c>
      <c r="B11" s="240">
        <v>85698.43</v>
      </c>
      <c r="C11" s="240">
        <v>6556.03</v>
      </c>
    </row>
    <row r="12" spans="1:3" x14ac:dyDescent="0.2">
      <c r="A12" t="s">
        <v>775</v>
      </c>
      <c r="B12" s="240">
        <v>41086.879999999997</v>
      </c>
      <c r="C12" s="240">
        <v>3143.01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1865850.9799999997</v>
      </c>
      <c r="C13" s="231">
        <f>SUM(C10:C12)</f>
        <v>909267.85000000009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830955.62</v>
      </c>
      <c r="C18" s="229">
        <f>'DOE25'!G198+'DOE25'!G216+'DOE25'!G234+'DOE25'!G277+'DOE25'!G296+'DOE25'!G315</f>
        <v>277602.19</v>
      </c>
    </row>
    <row r="19" spans="1:3" x14ac:dyDescent="0.2">
      <c r="A19" t="s">
        <v>773</v>
      </c>
      <c r="B19" s="240">
        <v>534137.59</v>
      </c>
      <c r="C19" s="240">
        <v>253015.81</v>
      </c>
    </row>
    <row r="20" spans="1:3" x14ac:dyDescent="0.2">
      <c r="A20" t="s">
        <v>774</v>
      </c>
      <c r="B20" s="240">
        <v>271343.90999999997</v>
      </c>
      <c r="C20" s="240">
        <v>17454.490000000002</v>
      </c>
    </row>
    <row r="21" spans="1:3" x14ac:dyDescent="0.2">
      <c r="A21" t="s">
        <v>775</v>
      </c>
      <c r="B21" s="240">
        <v>25474.12</v>
      </c>
      <c r="C21" s="240">
        <v>7131.89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830955.62</v>
      </c>
      <c r="C22" s="231">
        <f>SUM(C19:C21)</f>
        <v>277602.19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14701</v>
      </c>
      <c r="C36" s="235">
        <f>'DOE25'!G200+'DOE25'!G218+'DOE25'!G236+'DOE25'!G279+'DOE25'!G298+'DOE25'!G317</f>
        <v>3337.25</v>
      </c>
    </row>
    <row r="37" spans="1:3" x14ac:dyDescent="0.2">
      <c r="A37" t="s">
        <v>773</v>
      </c>
      <c r="B37" s="240">
        <v>13953</v>
      </c>
      <c r="C37" s="240">
        <v>3003.52</v>
      </c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748</v>
      </c>
      <c r="C39" s="240">
        <v>333.73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14701</v>
      </c>
      <c r="C40" s="231">
        <f>SUM(C37:C39)</f>
        <v>3337.25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HENNIKER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4375257.1100000003</v>
      </c>
      <c r="D5" s="20">
        <f>SUM('DOE25'!L197:L200)+SUM('DOE25'!L215:L218)+SUM('DOE25'!L233:L236)-F5-G5</f>
        <v>4351301.9000000004</v>
      </c>
      <c r="E5" s="243"/>
      <c r="F5" s="255">
        <f>SUM('DOE25'!J197:J200)+SUM('DOE25'!J215:J218)+SUM('DOE25'!J233:J236)</f>
        <v>10253.51</v>
      </c>
      <c r="G5" s="53">
        <f>SUM('DOE25'!K197:K200)+SUM('DOE25'!K215:K218)+SUM('DOE25'!K233:K236)</f>
        <v>13701.7</v>
      </c>
      <c r="H5" s="259"/>
    </row>
    <row r="6" spans="1:9" x14ac:dyDescent="0.2">
      <c r="A6" s="32">
        <v>2100</v>
      </c>
      <c r="B6" t="s">
        <v>795</v>
      </c>
      <c r="C6" s="245">
        <f t="shared" si="0"/>
        <v>575884.48</v>
      </c>
      <c r="D6" s="20">
        <f>'DOE25'!L202+'DOE25'!L220+'DOE25'!L238-F6-G6</f>
        <v>574518.76</v>
      </c>
      <c r="E6" s="243"/>
      <c r="F6" s="255">
        <f>'DOE25'!J202+'DOE25'!J220+'DOE25'!J238</f>
        <v>1365.72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295330.43</v>
      </c>
      <c r="D7" s="20">
        <f>'DOE25'!L203+'DOE25'!L221+'DOE25'!L239-F7-G7</f>
        <v>249688.6</v>
      </c>
      <c r="E7" s="243"/>
      <c r="F7" s="255">
        <f>'DOE25'!J203+'DOE25'!J221+'DOE25'!J239</f>
        <v>15769.48</v>
      </c>
      <c r="G7" s="53">
        <f>'DOE25'!K203+'DOE25'!K221+'DOE25'!K239</f>
        <v>29872.35</v>
      </c>
      <c r="H7" s="259"/>
    </row>
    <row r="8" spans="1:9" x14ac:dyDescent="0.2">
      <c r="A8" s="32">
        <v>2300</v>
      </c>
      <c r="B8" t="s">
        <v>796</v>
      </c>
      <c r="C8" s="245">
        <f t="shared" si="0"/>
        <v>166480.28999999998</v>
      </c>
      <c r="D8" s="243"/>
      <c r="E8" s="20">
        <f>'DOE25'!L204+'DOE25'!L222+'DOE25'!L240-F8-G8-D9-D11</f>
        <v>155059.72999999998</v>
      </c>
      <c r="F8" s="255">
        <f>'DOE25'!J204+'DOE25'!J222+'DOE25'!J240</f>
        <v>0</v>
      </c>
      <c r="G8" s="53">
        <f>'DOE25'!K204+'DOE25'!K222+'DOE25'!K240</f>
        <v>11420.56</v>
      </c>
      <c r="H8" s="259"/>
    </row>
    <row r="9" spans="1:9" x14ac:dyDescent="0.2">
      <c r="A9" s="32">
        <v>2310</v>
      </c>
      <c r="B9" t="s">
        <v>812</v>
      </c>
      <c r="C9" s="245">
        <f t="shared" si="0"/>
        <v>45733.22</v>
      </c>
      <c r="D9" s="244">
        <v>45733.22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9700</v>
      </c>
      <c r="D10" s="243"/>
      <c r="E10" s="244">
        <v>9700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75211.89</v>
      </c>
      <c r="D11" s="244">
        <v>75211.89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459942.6</v>
      </c>
      <c r="D12" s="20">
        <f>'DOE25'!L205+'DOE25'!L223+'DOE25'!L241-F12-G12</f>
        <v>457903.6</v>
      </c>
      <c r="E12" s="243"/>
      <c r="F12" s="255">
        <f>'DOE25'!J205+'DOE25'!J223+'DOE25'!J241</f>
        <v>0</v>
      </c>
      <c r="G12" s="53">
        <f>'DOE25'!K205+'DOE25'!K223+'DOE25'!K241</f>
        <v>2039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659614.93999999994</v>
      </c>
      <c r="D14" s="20">
        <f>'DOE25'!L207+'DOE25'!L225+'DOE25'!L243-F14-G14</f>
        <v>656250.04999999993</v>
      </c>
      <c r="E14" s="243"/>
      <c r="F14" s="255">
        <f>'DOE25'!J207+'DOE25'!J225+'DOE25'!J243</f>
        <v>3364.89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403438.18</v>
      </c>
      <c r="D15" s="20">
        <f>'DOE25'!L208+'DOE25'!L226+'DOE25'!L244-F15-G15</f>
        <v>403438.18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140172.19</v>
      </c>
      <c r="D29" s="20">
        <f>'DOE25'!L358+'DOE25'!L359+'DOE25'!L360-'DOE25'!I367-F29-G29</f>
        <v>140014.39000000001</v>
      </c>
      <c r="E29" s="243"/>
      <c r="F29" s="255">
        <f>'DOE25'!J358+'DOE25'!J359+'DOE25'!J360</f>
        <v>0</v>
      </c>
      <c r="G29" s="53">
        <f>'DOE25'!K358+'DOE25'!K359+'DOE25'!K360</f>
        <v>157.80000000000001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100878.79</v>
      </c>
      <c r="D31" s="20">
        <f>'DOE25'!L290+'DOE25'!L309+'DOE25'!L328+'DOE25'!L333+'DOE25'!L334+'DOE25'!L335-F31-G31</f>
        <v>89130.23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11748.56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7043190.8199999984</v>
      </c>
      <c r="E33" s="246">
        <f>SUM(E5:E31)</f>
        <v>164759.72999999998</v>
      </c>
      <c r="F33" s="246">
        <f>SUM(F5:F31)</f>
        <v>30753.599999999999</v>
      </c>
      <c r="G33" s="246">
        <f>SUM(G5:G31)</f>
        <v>68939.97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164759.72999999998</v>
      </c>
      <c r="E35" s="249"/>
    </row>
    <row r="36" spans="2:8" ht="12" thickTop="1" x14ac:dyDescent="0.2">
      <c r="B36" t="s">
        <v>809</v>
      </c>
      <c r="D36" s="20">
        <f>D33</f>
        <v>7043190.8199999984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HENNIKER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658752.03</v>
      </c>
      <c r="D8" s="95">
        <f>'DOE25'!G9</f>
        <v>-2958.16</v>
      </c>
      <c r="E8" s="95">
        <f>'DOE25'!H9</f>
        <v>-62003.25</v>
      </c>
      <c r="F8" s="95">
        <f>'DOE25'!I9</f>
        <v>0</v>
      </c>
      <c r="G8" s="95">
        <f>'DOE25'!J9</f>
        <v>337439.79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36809.269999999997</v>
      </c>
      <c r="D12" s="95">
        <f>'DOE25'!G13</f>
        <v>4383.66</v>
      </c>
      <c r="E12" s="95">
        <f>'DOE25'!H13</f>
        <v>63278.25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3279.76</v>
      </c>
      <c r="D13" s="95">
        <f>'DOE25'!G14</f>
        <v>30049.17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698841.06</v>
      </c>
      <c r="D18" s="41">
        <f>SUM(D8:D17)</f>
        <v>31474.67</v>
      </c>
      <c r="E18" s="41">
        <f>SUM(E8:E17)</f>
        <v>1275</v>
      </c>
      <c r="F18" s="41">
        <f>SUM(F8:F17)</f>
        <v>0</v>
      </c>
      <c r="G18" s="41">
        <f>SUM(G8:G17)</f>
        <v>337439.79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4099.3900000000003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3200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9782.84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15474.61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3995.65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32556.84</v>
      </c>
      <c r="D31" s="41">
        <f>SUM(D21:D30)</f>
        <v>3995.65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140395.95000000001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27479.02</v>
      </c>
      <c r="E47" s="95">
        <f>'DOE25'!H48</f>
        <v>1275</v>
      </c>
      <c r="F47" s="95">
        <f>'DOE25'!I48</f>
        <v>0</v>
      </c>
      <c r="G47" s="95">
        <f>'DOE25'!J48</f>
        <v>337439.79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450888.27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666284.22</v>
      </c>
      <c r="D50" s="41">
        <f>SUM(D34:D49)</f>
        <v>27479.02</v>
      </c>
      <c r="E50" s="41">
        <f>SUM(E34:E49)</f>
        <v>1275</v>
      </c>
      <c r="F50" s="41">
        <f>SUM(F34:F49)</f>
        <v>0</v>
      </c>
      <c r="G50" s="41">
        <f>SUM(G34:G49)</f>
        <v>337439.79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698841.05999999994</v>
      </c>
      <c r="D51" s="41">
        <f>D50+D31</f>
        <v>31474.670000000002</v>
      </c>
      <c r="E51" s="41">
        <f>E50+E31</f>
        <v>1275</v>
      </c>
      <c r="F51" s="41">
        <f>F50+F31</f>
        <v>0</v>
      </c>
      <c r="G51" s="41">
        <f>G50+G31</f>
        <v>337439.79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5026107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36310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66831.72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4012.48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36.76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76440.100000000006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21615.989999999998</v>
      </c>
      <c r="D61" s="95">
        <f>SUM('DOE25'!G98:G110)</f>
        <v>0</v>
      </c>
      <c r="E61" s="95">
        <f>SUM('DOE25'!H98:H110)</f>
        <v>1000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128770.19</v>
      </c>
      <c r="D62" s="130">
        <f>SUM(D57:D61)</f>
        <v>76440.100000000006</v>
      </c>
      <c r="E62" s="130">
        <f>SUM(E57:E61)</f>
        <v>1000</v>
      </c>
      <c r="F62" s="130">
        <f>SUM(F57:F61)</f>
        <v>0</v>
      </c>
      <c r="G62" s="130">
        <f>SUM(G57:G61)</f>
        <v>36.76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5154877.1900000004</v>
      </c>
      <c r="D63" s="22">
        <f>D56+D62</f>
        <v>76440.100000000006</v>
      </c>
      <c r="E63" s="22">
        <f>E56+E62</f>
        <v>1000</v>
      </c>
      <c r="F63" s="22">
        <f>F56+F62</f>
        <v>0</v>
      </c>
      <c r="G63" s="22">
        <f>G56+G62</f>
        <v>36.76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1516366.36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588291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10625.49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2115282.8500000006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97689.02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2029.17</v>
      </c>
      <c r="E77" s="95">
        <f>SUM('DOE25'!H131:H135)</f>
        <v>44500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97689.02</v>
      </c>
      <c r="D78" s="130">
        <f>SUM(D72:D77)</f>
        <v>2029.17</v>
      </c>
      <c r="E78" s="130">
        <f>SUM(E72:E77)</f>
        <v>44500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2212971.8700000006</v>
      </c>
      <c r="D81" s="130">
        <f>SUM(D79:D80)+D78+D70</f>
        <v>2029.17</v>
      </c>
      <c r="E81" s="130">
        <f>SUM(E79:E80)+E78+E70</f>
        <v>44500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72146.45</v>
      </c>
      <c r="D88" s="95">
        <f>SUM('DOE25'!G153:G161)</f>
        <v>57798.080000000002</v>
      </c>
      <c r="E88" s="95">
        <f>SUM('DOE25'!H153:H161)</f>
        <v>56653.79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72146.45</v>
      </c>
      <c r="D91" s="131">
        <f>SUM(D85:D90)</f>
        <v>57798.080000000002</v>
      </c>
      <c r="E91" s="131">
        <f>SUM(E85:E90)</f>
        <v>56653.79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50000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50000</v>
      </c>
    </row>
    <row r="104" spans="1:7" ht="12.75" thickTop="1" thickBot="1" x14ac:dyDescent="0.25">
      <c r="A104" s="33" t="s">
        <v>759</v>
      </c>
      <c r="C104" s="86">
        <f>C63+C81+C91+C103</f>
        <v>7439995.5100000007</v>
      </c>
      <c r="D104" s="86">
        <f>D63+D81+D91+D103</f>
        <v>136267.35</v>
      </c>
      <c r="E104" s="86">
        <f>E63+E81+E91+E103</f>
        <v>102153.79000000001</v>
      </c>
      <c r="F104" s="86">
        <f>F63+F81+F91+F103</f>
        <v>0</v>
      </c>
      <c r="G104" s="86">
        <f>G63+G81+G103</f>
        <v>50036.76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2978479.56</v>
      </c>
      <c r="D109" s="24" t="s">
        <v>286</v>
      </c>
      <c r="E109" s="95">
        <f>('DOE25'!L276)+('DOE25'!L295)+('DOE25'!L314)</f>
        <v>21594.12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1378239.3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18538.25</v>
      </c>
      <c r="D112" s="24" t="s">
        <v>286</v>
      </c>
      <c r="E112" s="95">
        <f>+('DOE25'!L279)+('DOE25'!L298)+('DOE25'!L317)</f>
        <v>225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4375257.1100000003</v>
      </c>
      <c r="D115" s="86">
        <f>SUM(D109:D114)</f>
        <v>0</v>
      </c>
      <c r="E115" s="86">
        <f>SUM(E109:E114)</f>
        <v>21819.119999999999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575884.48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295330.43</v>
      </c>
      <c r="D119" s="24" t="s">
        <v>286</v>
      </c>
      <c r="E119" s="95">
        <f>+('DOE25'!L282)+('DOE25'!L301)+('DOE25'!L320)</f>
        <v>46233.58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287425.39999999997</v>
      </c>
      <c r="D120" s="24" t="s">
        <v>286</v>
      </c>
      <c r="E120" s="95">
        <f>+('DOE25'!L283)+('DOE25'!L302)+('DOE25'!L321)</f>
        <v>826.09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459942.6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659614.93999999994</v>
      </c>
      <c r="D123" s="24" t="s">
        <v>286</v>
      </c>
      <c r="E123" s="95">
        <f>+('DOE25'!L286)+('DOE25'!L305)+('DOE25'!L324)</f>
        <v>32000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403438.18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140172.19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2681636.0299999998</v>
      </c>
      <c r="D128" s="86">
        <f>SUM(D118:D127)</f>
        <v>140172.19</v>
      </c>
      <c r="E128" s="86">
        <f>SUM(E118:E127)</f>
        <v>79059.67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50036.76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-36.760000000002037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50000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7106893.1400000006</v>
      </c>
      <c r="D145" s="86">
        <f>(D115+D128+D144)</f>
        <v>140172.19</v>
      </c>
      <c r="E145" s="86">
        <f>(E115+E128+E144)</f>
        <v>100878.79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HENNIKER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17816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17816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3000074</v>
      </c>
      <c r="D10" s="182">
        <f>ROUND((C10/$C$28)*100,1)</f>
        <v>41.5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1378239</v>
      </c>
      <c r="D11" s="182">
        <f>ROUND((C11/$C$28)*100,1)</f>
        <v>19.100000000000001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18763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575884</v>
      </c>
      <c r="D15" s="182">
        <f t="shared" ref="D15:D27" si="0">ROUND((C15/$C$28)*100,1)</f>
        <v>8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341564</v>
      </c>
      <c r="D16" s="182">
        <f t="shared" si="0"/>
        <v>4.7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288251</v>
      </c>
      <c r="D17" s="182">
        <f t="shared" si="0"/>
        <v>4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459943</v>
      </c>
      <c r="D18" s="182">
        <f t="shared" si="0"/>
        <v>6.4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691615</v>
      </c>
      <c r="D20" s="182">
        <f t="shared" si="0"/>
        <v>9.6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403438</v>
      </c>
      <c r="D21" s="182">
        <f t="shared" si="0"/>
        <v>5.6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63731.899999999994</v>
      </c>
      <c r="D27" s="182">
        <f t="shared" si="0"/>
        <v>0.9</v>
      </c>
    </row>
    <row r="28" spans="1:4" x14ac:dyDescent="0.2">
      <c r="B28" s="187" t="s">
        <v>717</v>
      </c>
      <c r="C28" s="180">
        <f>SUM(C10:C27)</f>
        <v>7221502.9000000004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7221502.9000000004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5026107</v>
      </c>
      <c r="D35" s="182">
        <f t="shared" ref="D35:D40" si="1">ROUND((C35/$C$41)*100,1)</f>
        <v>66.099999999999994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129806.94999999925</v>
      </c>
      <c r="D36" s="182">
        <f t="shared" si="1"/>
        <v>1.7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2104657</v>
      </c>
      <c r="D37" s="182">
        <f t="shared" si="1"/>
        <v>27.7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154844</v>
      </c>
      <c r="D38" s="182">
        <f t="shared" si="1"/>
        <v>2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186598</v>
      </c>
      <c r="D39" s="182">
        <f t="shared" si="1"/>
        <v>2.5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7602012.9499999993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HENNIKER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2018-08-08T12:59:38Z</cp:lastPrinted>
  <dcterms:created xsi:type="dcterms:W3CDTF">1997-12-04T19:04:30Z</dcterms:created>
  <dcterms:modified xsi:type="dcterms:W3CDTF">2018-11-13T19:51:01Z</dcterms:modified>
</cp:coreProperties>
</file>