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D115" i="2"/>
  <c r="F115" i="2"/>
  <c r="G115" i="2"/>
  <c r="C119" i="2"/>
  <c r="E120" i="2"/>
  <c r="E122" i="2"/>
  <c r="E123" i="2"/>
  <c r="E124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H460" i="1"/>
  <c r="G461" i="1"/>
  <c r="H640" i="1" s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J636" i="1" s="1"/>
  <c r="H637" i="1"/>
  <c r="H638" i="1"/>
  <c r="G639" i="1"/>
  <c r="G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F192" i="1"/>
  <c r="C26" i="10"/>
  <c r="L328" i="1"/>
  <c r="D62" i="2"/>
  <c r="D63" i="2" s="1"/>
  <c r="D18" i="2"/>
  <c r="D50" i="2"/>
  <c r="D91" i="2"/>
  <c r="E78" i="2"/>
  <c r="E81" i="2" s="1"/>
  <c r="J571" i="1"/>
  <c r="L419" i="1"/>
  <c r="I169" i="1"/>
  <c r="J140" i="1"/>
  <c r="G22" i="2"/>
  <c r="H140" i="1"/>
  <c r="H25" i="13"/>
  <c r="C25" i="13" s="1"/>
  <c r="H571" i="1"/>
  <c r="H192" i="1"/>
  <c r="L570" i="1"/>
  <c r="I571" i="1"/>
  <c r="L565" i="1"/>
  <c r="J640" i="1" l="1"/>
  <c r="J639" i="1"/>
  <c r="H408" i="1"/>
  <c r="H644" i="1" s="1"/>
  <c r="J644" i="1" s="1"/>
  <c r="H545" i="1"/>
  <c r="K550" i="1"/>
  <c r="L534" i="1"/>
  <c r="K545" i="1"/>
  <c r="H552" i="1"/>
  <c r="G545" i="1"/>
  <c r="I545" i="1"/>
  <c r="K352" i="1"/>
  <c r="H338" i="1"/>
  <c r="H352" i="1" s="1"/>
  <c r="E119" i="2"/>
  <c r="L290" i="1"/>
  <c r="G338" i="1"/>
  <c r="G352" i="1" s="1"/>
  <c r="E109" i="2"/>
  <c r="F338" i="1"/>
  <c r="F352" i="1" s="1"/>
  <c r="H476" i="1"/>
  <c r="H624" i="1" s="1"/>
  <c r="J624" i="1" s="1"/>
  <c r="I476" i="1"/>
  <c r="H625" i="1" s="1"/>
  <c r="D29" i="13"/>
  <c r="C29" i="13" s="1"/>
  <c r="G661" i="1"/>
  <c r="H33" i="13"/>
  <c r="C109" i="2"/>
  <c r="E16" i="13"/>
  <c r="C125" i="2"/>
  <c r="G651" i="1"/>
  <c r="J651" i="1" s="1"/>
  <c r="C20" i="10"/>
  <c r="C121" i="2"/>
  <c r="E8" i="13"/>
  <c r="C8" i="13" s="1"/>
  <c r="H257" i="1"/>
  <c r="H271" i="1" s="1"/>
  <c r="D7" i="13"/>
  <c r="C7" i="13" s="1"/>
  <c r="I257" i="1"/>
  <c r="I271" i="1" s="1"/>
  <c r="G257" i="1"/>
  <c r="G271" i="1" s="1"/>
  <c r="F257" i="1"/>
  <c r="F271" i="1" s="1"/>
  <c r="C110" i="2"/>
  <c r="D5" i="13"/>
  <c r="C5" i="13" s="1"/>
  <c r="G476" i="1"/>
  <c r="H623" i="1" s="1"/>
  <c r="J623" i="1" s="1"/>
  <c r="G161" i="2"/>
  <c r="K500" i="1"/>
  <c r="G157" i="2"/>
  <c r="E62" i="2"/>
  <c r="E63" i="2" s="1"/>
  <c r="H112" i="1"/>
  <c r="H52" i="1"/>
  <c r="H619" i="1" s="1"/>
  <c r="J619" i="1" s="1"/>
  <c r="J622" i="1"/>
  <c r="J617" i="1"/>
  <c r="C16" i="13"/>
  <c r="J641" i="1"/>
  <c r="F18" i="2"/>
  <c r="C35" i="10"/>
  <c r="C56" i="2"/>
  <c r="H663" i="1"/>
  <c r="L614" i="1"/>
  <c r="L309" i="1"/>
  <c r="C21" i="10"/>
  <c r="H647" i="1"/>
  <c r="C124" i="2"/>
  <c r="G649" i="1"/>
  <c r="J649" i="1" s="1"/>
  <c r="D15" i="13"/>
  <c r="C15" i="13" s="1"/>
  <c r="F662" i="1"/>
  <c r="I662" i="1" s="1"/>
  <c r="C118" i="2"/>
  <c r="D6" i="13"/>
  <c r="C6" i="13" s="1"/>
  <c r="C12" i="10"/>
  <c r="C111" i="2"/>
  <c r="C122" i="2"/>
  <c r="E13" i="13"/>
  <c r="C13" i="13" s="1"/>
  <c r="F22" i="13"/>
  <c r="C22" i="13" s="1"/>
  <c r="D12" i="13"/>
  <c r="C12" i="13" s="1"/>
  <c r="L427" i="1"/>
  <c r="C10" i="10"/>
  <c r="A13" i="12"/>
  <c r="E121" i="2"/>
  <c r="D127" i="2"/>
  <c r="D128" i="2" s="1"/>
  <c r="D145" i="2" s="1"/>
  <c r="D17" i="13"/>
  <c r="C17" i="13" s="1"/>
  <c r="D14" i="13"/>
  <c r="C14" i="13" s="1"/>
  <c r="C18" i="10"/>
  <c r="L247" i="1"/>
  <c r="H660" i="1" s="1"/>
  <c r="L229" i="1"/>
  <c r="C17" i="10"/>
  <c r="C120" i="2"/>
  <c r="J655" i="1"/>
  <c r="J643" i="1"/>
  <c r="J257" i="1"/>
  <c r="J271" i="1" s="1"/>
  <c r="I52" i="1"/>
  <c r="H620" i="1" s="1"/>
  <c r="J620" i="1" s="1"/>
  <c r="G625" i="1"/>
  <c r="G164" i="2"/>
  <c r="C78" i="2"/>
  <c r="C81" i="2" s="1"/>
  <c r="C132" i="2"/>
  <c r="G549" i="1"/>
  <c r="L529" i="1"/>
  <c r="E134" i="2"/>
  <c r="E144" i="2" s="1"/>
  <c r="L351" i="1"/>
  <c r="L211" i="1"/>
  <c r="C16" i="10"/>
  <c r="C114" i="2"/>
  <c r="F661" i="1"/>
  <c r="I661" i="1" s="1"/>
  <c r="C19" i="10"/>
  <c r="H169" i="1"/>
  <c r="L393" i="1"/>
  <c r="C138" i="2" s="1"/>
  <c r="C130" i="2"/>
  <c r="C29" i="10"/>
  <c r="E125" i="2"/>
  <c r="E112" i="2"/>
  <c r="C13" i="10"/>
  <c r="F169" i="1"/>
  <c r="F112" i="1"/>
  <c r="J645" i="1"/>
  <c r="K598" i="1"/>
  <c r="G647" i="1" s="1"/>
  <c r="J647" i="1" s="1"/>
  <c r="J545" i="1"/>
  <c r="I460" i="1"/>
  <c r="I452" i="1"/>
  <c r="I446" i="1"/>
  <c r="G642" i="1" s="1"/>
  <c r="L433" i="1"/>
  <c r="L434" i="1" s="1"/>
  <c r="G638" i="1" s="1"/>
  <c r="J638" i="1" s="1"/>
  <c r="K257" i="1"/>
  <c r="K271" i="1" s="1"/>
  <c r="C123" i="2"/>
  <c r="C62" i="2"/>
  <c r="C18" i="2"/>
  <c r="L270" i="1"/>
  <c r="J551" i="1"/>
  <c r="J552" i="1" s="1"/>
  <c r="L544" i="1"/>
  <c r="F551" i="1"/>
  <c r="L524" i="1"/>
  <c r="C32" i="10"/>
  <c r="C15" i="10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A22" i="12"/>
  <c r="G50" i="2"/>
  <c r="J652" i="1"/>
  <c r="G571" i="1"/>
  <c r="I434" i="1"/>
  <c r="G434" i="1"/>
  <c r="I663" i="1"/>
  <c r="C27" i="10"/>
  <c r="G635" i="1"/>
  <c r="J635" i="1" s="1"/>
  <c r="I461" i="1" l="1"/>
  <c r="H642" i="1" s="1"/>
  <c r="J642" i="1" s="1"/>
  <c r="H646" i="1"/>
  <c r="J646" i="1" s="1"/>
  <c r="E128" i="2"/>
  <c r="L338" i="1"/>
  <c r="L352" i="1" s="1"/>
  <c r="G633" i="1" s="1"/>
  <c r="J633" i="1" s="1"/>
  <c r="F660" i="1"/>
  <c r="F664" i="1" s="1"/>
  <c r="F672" i="1" s="1"/>
  <c r="C4" i="10" s="1"/>
  <c r="E115" i="2"/>
  <c r="G660" i="1"/>
  <c r="G664" i="1" s="1"/>
  <c r="G667" i="1" s="1"/>
  <c r="D31" i="13"/>
  <c r="C31" i="13" s="1"/>
  <c r="H664" i="1"/>
  <c r="H667" i="1" s="1"/>
  <c r="J625" i="1"/>
  <c r="C144" i="2"/>
  <c r="C115" i="2"/>
  <c r="L257" i="1"/>
  <c r="L271" i="1" s="1"/>
  <c r="G632" i="1" s="1"/>
  <c r="J632" i="1" s="1"/>
  <c r="H193" i="1"/>
  <c r="G629" i="1" s="1"/>
  <c r="J629" i="1" s="1"/>
  <c r="E104" i="2"/>
  <c r="F104" i="2"/>
  <c r="I193" i="1"/>
  <c r="G630" i="1" s="1"/>
  <c r="J630" i="1" s="1"/>
  <c r="C36" i="10"/>
  <c r="F193" i="1"/>
  <c r="G627" i="1" s="1"/>
  <c r="J627" i="1" s="1"/>
  <c r="F51" i="2"/>
  <c r="G51" i="2"/>
  <c r="K551" i="1"/>
  <c r="F552" i="1"/>
  <c r="C28" i="10"/>
  <c r="D19" i="10" s="1"/>
  <c r="C63" i="2"/>
  <c r="C104" i="2" s="1"/>
  <c r="H648" i="1"/>
  <c r="J648" i="1" s="1"/>
  <c r="F33" i="13"/>
  <c r="C39" i="10"/>
  <c r="K549" i="1"/>
  <c r="G552" i="1"/>
  <c r="C128" i="2"/>
  <c r="L545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I660" i="1"/>
  <c r="I664" i="1" s="1"/>
  <c r="I672" i="1" s="1"/>
  <c r="C7" i="10" s="1"/>
  <c r="D33" i="13"/>
  <c r="D36" i="13" s="1"/>
  <c r="H672" i="1"/>
  <c r="C6" i="10" s="1"/>
  <c r="G672" i="1"/>
  <c r="C5" i="10" s="1"/>
  <c r="C145" i="2"/>
  <c r="D20" i="10"/>
  <c r="D26" i="10"/>
  <c r="D12" i="10"/>
  <c r="F667" i="1"/>
  <c r="D24" i="10"/>
  <c r="D11" i="10"/>
  <c r="D23" i="10"/>
  <c r="D10" i="10"/>
  <c r="D21" i="10"/>
  <c r="D27" i="10"/>
  <c r="D18" i="10"/>
  <c r="C30" i="10"/>
  <c r="D22" i="10"/>
  <c r="D13" i="10"/>
  <c r="D17" i="10"/>
  <c r="D16" i="10"/>
  <c r="D15" i="10"/>
  <c r="D25" i="10"/>
  <c r="K552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<sst xmlns="http://schemas.openxmlformats.org/spreadsheetml/2006/main" count="3964" uniqueCount="920">
  <si>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</si>
  <si>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</si>
  <si>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</si>
  <si>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</si>
  <si>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</si>
  <si>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</si>
  <si>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</si>
  <si>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</si>
  <si>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</si>
  <si>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</si>
  <si>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</si>
  <si>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</si>
  <si>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</si>
  <si>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</si>
  <si>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</si>
  <si>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</si>
  <si>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</si>
  <si>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</si>
  <si>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</si>
  <si>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</si>
  <si>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</si>
  <si>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</si>
  <si>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</si>
  <si>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</si>
  <si>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</si>
  <si>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</si>
  <si>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</si>
  <si>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</si>
  <si>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</si>
  <si>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</si>
  <si>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</si>
  <si>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</si>
  <si>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</si>
  <si>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</si>
  <si>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</si>
  <si>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</si>
  <si>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</si>
  <si>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</si>
  <si>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</si>
  <si>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</si>
  <si>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</si>
  <si>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</si>
  <si>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</si>
  <si>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</si>
  <si>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</si>
  <si>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</si>
  <si>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</si>
  <si>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</si>
  <si>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</si>
  <si>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</si>
  <si>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</si>
  <si>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</si>
  <si>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</si>
  <si>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</si>
  <si>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</si>
  <si>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</si>
  <si>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</si>
  <si>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</si>
  <si>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</si>
  <si>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</si>
  <si>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</si>
  <si>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</si>
  <si>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</si>
  <si>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</si>
  <si>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</si>
  <si>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</si>
  <si>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</si>
  <si>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</si>
  <si>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</si>
  <si>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</si>
  <si>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</si>
  <si>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</si>
  <si>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</si>
  <si>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</si>
  <si>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</si>
  <si>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</si>
  <si>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</si>
  <si>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</si>
  <si>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</si>
  <si>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</si>
  <si>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</si>
  <si>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</si>
  <si>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</si>
  <si>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</si>
  <si>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</si>
  <si>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</si>
  <si>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</si>
  <si>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</si>
  <si>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</si>
  <si>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</si>
  <si>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</si>
  <si>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</si>
  <si>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</si>
  <si>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</si>
  <si>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</si>
  <si>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</si>
  <si>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</si>
  <si>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</si>
  <si>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</si>
  <si>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</si>
  <si>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</si>
  <si>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</si>
  <si>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</si>
  <si>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</si>
  <si>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</si>
  <si>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</si>
  <si>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</si>
  <si>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</si>
  <si>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</si>
  <si>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</si>
  <si>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</si>
  <si>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</si>
  <si>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</si>
  <si>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</si>
  <si>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</si>
  <si>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</si>
  <si>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</si>
  <si>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</si>
  <si>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</si>
  <si>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</si>
  <si>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</si>
  <si>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</si>
  <si>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</si>
  <si>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</si>
  <si>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</si>
  <si>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</si>
  <si>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</si>
  <si>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</si>
  <si>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</si>
  <si>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</si>
  <si>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</si>
  <si>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</si>
  <si>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</si>
  <si>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</si>
  <si>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</si>
  <si>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</si>
  <si>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</si>
  <si>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</si>
  <si>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</si>
  <si>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</si>
  <si>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</si>
  <si>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</si>
  <si>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</si>
  <si>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</si>
  <si>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</si>
  <si>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</si>
  <si>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</si>
  <si>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</si>
  <si>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</si>
  <si>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</si>
  <si>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</si>
  <si>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</si>
  <si>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</si>
  <si>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</si>
  <si>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</si>
  <si>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</si>
  <si>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</si>
  <si>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</si>
  <si>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</si>
  <si>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</si>
  <si>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</si>
  <si>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</si>
  <si>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</si>
  <si>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</si>
  <si>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</si>
  <si>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</si>
  <si>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</si>
  <si>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</si>
  <si>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</si>
  <si>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</si>
  <si>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</si>
  <si>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</si>
  <si>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</si>
  <si>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</si>
  <si>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</si>
  <si>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</si>
  <si>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</si>
  <si>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</si>
  <si>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</si>
  <si>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</si>
  <si>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</si>
  <si>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</si>
  <si>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</si>
  <si>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</si>
  <si>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</si>
  <si>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</si>
  <si>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</si>
  <si>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</si>
  <si>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</si>
  <si>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</si>
  <si>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</si>
  <si>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</si>
  <si>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</si>
  <si>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</si>
  <si>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</si>
  <si>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</si>
  <si>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</si>
  <si>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</si>
  <si>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</si>
  <si>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</si>
  <si>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</si>
  <si>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</si>
  <si>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</si>
  <si>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</si>
  <si>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</si>
  <si>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</si>
  <si>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</si>
  <si>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</si>
  <si>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</si>
  <si>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</si>
  <si>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</si>
  <si>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</si>
  <si>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</si>
  <si>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</si>
  <si>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</si>
  <si>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</si>
  <si>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</si>
  <si>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</si>
  <si>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</si>
  <si>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</si>
  <si>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</si>
  <si>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</si>
  <si>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</si>
  <si>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</si>
  <si>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</si>
  <si>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</si>
  <si>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</si>
  <si>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</si>
  <si>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</si>
  <si>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</si>
  <si>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</si>
  <si>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</si>
  <si>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</si>
  <si>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</si>
  <si>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</si>
  <si>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</si>
  <si>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</si>
  <si>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</si>
  <si>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</si>
  <si>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</si>
  <si>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</si>
  <si>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</si>
  <si>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</si>
  <si>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</si>
  <si>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</si>
  <si>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</si>
  <si>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</si>
  <si>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</si>
  <si>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</si>
  <si>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</si>
  <si>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</si>
  <si>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</si>
  <si>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</si>
  <si>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</si>
  <si>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</si>
  <si>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</si>
  <si>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</si>
  <si>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</si>
  <si>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</si>
  <si>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</si>
  <si>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</si>
  <si>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</si>
  <si>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</si>
  <si>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</si>
  <si>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</si>
  <si>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</si>
  <si>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</si>
  <si>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</si>
  <si>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</si>
  <si>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</si>
  <si>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</si>
  <si>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</si>
  <si>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</si>
  <si>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</si>
  <si>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</si>
  <si>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</si>
  <si>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</si>
  <si>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</si>
  <si>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</si>
  <si>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</si>
  <si>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</si>
  <si>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</si>
  <si>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</si>
  <si>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</si>
  <si>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</si>
  <si>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</si>
  <si>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</si>
  <si>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</si>
  <si>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</si>
  <si>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</si>
  <si>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</si>
  <si>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</si>
  <si>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</si>
  <si>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</si>
  <si>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</si>
  <si>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</si>
  <si>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</si>
  <si>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</si>
  <si>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</si>
  <si>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</si>
  <si>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</si>
  <si>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</si>
  <si>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</si>
  <si>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</si>
  <si>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</si>
  <si>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</si>
  <si>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</si>
  <si>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</si>
  <si>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</si>
  <si>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</si>
  <si>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</si>
  <si>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</si>
  <si>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</si>
  <si>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</si>
  <si>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</si>
  <si>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</si>
  <si>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</si>
  <si>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</si>
  <si>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</si>
  <si>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</si>
  <si>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</si>
  <si>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</si>
  <si>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</si>
  <si>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</si>
  <si>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</si>
  <si>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</si>
  <si>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</si>
  <si>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</si>
  <si>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</si>
  <si>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</si>
  <si>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</si>
  <si>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</si>
  <si>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</si>
  <si>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</si>
  <si>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</si>
  <si>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</si>
  <si>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</si>
  <si>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</si>
  <si>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</si>
  <si>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</si>
  <si>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</si>
  <si>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</si>
  <si>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</si>
  <si>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</si>
  <si>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</si>
  <si>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</si>
  <si>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</si>
  <si>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</si>
  <si>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</si>
  <si>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</si>
  <si>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</si>
  <si>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</si>
  <si>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</si>
  <si>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</si>
  <si>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</si>
  <si>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</si>
  <si>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</si>
  <si>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</si>
  <si>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</si>
  <si>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</si>
  <si>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</si>
  <si>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</si>
  <si>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</si>
  <si>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</si>
  <si>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</si>
  <si>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</si>
  <si>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</si>
  <si>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</si>
  <si>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</si>
  <si>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</si>
  <si>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</si>
  <si>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</si>
  <si>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</si>
  <si>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</si>
  <si>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</si>
  <si>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</si>
  <si>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</si>
  <si>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</si>
  <si>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</si>
  <si>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</si>
  <si>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</si>
  <si>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</si>
  <si>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</si>
  <si>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</si>
  <si>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</si>
  <si>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</si>
  <si>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</si>
  <si>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</si>
  <si>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</si>
  <si>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</si>
  <si>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</si>
  <si>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</si>
  <si>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</si>
  <si>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</si>
  <si>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</si>
  <si>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</si>
  <si>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</si>
  <si>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</si>
  <si>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</si>
  <si>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</si>
  <si>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</si>
  <si>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</si>
  <si>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</si>
  <si>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</si>
  <si>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</si>
  <si>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</si>
  <si>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</si>
  <si>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</si>
  <si>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</si>
  <si>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</si>
  <si>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</si>
  <si>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</si>
  <si>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</si>
  <si>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</si>
  <si>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</si>
  <si>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</si>
  <si>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</si>
  <si>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</si>
  <si>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</si>
  <si>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</si>
  <si>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</si>
  <si>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</si>
  <si>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</si>
  <si>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</si>
  <si>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</si>
  <si>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</si>
  <si>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</si>
  <si>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</si>
  <si>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</si>
  <si>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</si>
  <si>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</si>
  <si>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</si>
  <si>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</si>
  <si>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</si>
  <si>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</si>
  <si>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</si>
  <si>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</si>
  <si>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</si>
  <si>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</si>
  <si>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</si>
  <si>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</si>
  <si>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</si>
  <si>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</si>
  <si>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</si>
  <si>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</si>
  <si>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</si>
  <si>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</si>
  <si>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</si>
  <si>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</si>
  <si>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</si>
  <si>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</si>
  <si>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</si>
  <si>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</si>
  <si>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</si>
  <si>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</si>
  <si>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</si>
  <si>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</si>
  <si>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</si>
  <si>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</si>
  <si>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</si>
  <si>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</si>
  <si>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</si>
  <si>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</si>
  <si>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</si>
  <si>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</si>
  <si>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</si>
  <si>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</si>
  <si>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</si>
  <si>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</si>
  <si>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</si>
  <si>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</si>
  <si>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</si>
  <si>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</si>
  <si>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</si>
  <si>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</si>
  <si>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</si>
  <si>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</si>
  <si>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</si>
  <si>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</si>
  <si>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</si>
  <si>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</si>
  <si>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</si>
  <si>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</si>
  <si>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</si>
  <si>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</si>
  <si>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</si>
  <si>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</si>
  <si>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</si>
  <si>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</si>
  <si>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</si>
  <si>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</si>
  <si>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</si>
  <si>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</si>
  <si>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</si>
  <si>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</si>
  <si>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</si>
  <si>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</si>
  <si>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</si>
  <si>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</si>
  <si>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</si>
  <si>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</si>
  <si>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</si>
  <si>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</si>
  <si>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</si>
  <si>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</si>
  <si>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</si>
  <si>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</si>
  <si>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</si>
  <si>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</si>
  <si>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</si>
  <si>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</si>
  <si>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</si>
  <si>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</si>
  <si>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</si>
  <si>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</si>
  <si>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</si>
  <si>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</si>
  <si>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</si>
  <si>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</si>
  <si>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</si>
  <si>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</si>
  <si>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</si>
  <si>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</si>
  <si>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</si>
  <si>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</si>
  <si>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</si>
  <si>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</si>
  <si>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</si>
  <si>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</si>
  <si>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</si>
  <si>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</si>
  <si>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</si>
  <si>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</si>
  <si>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</si>
  <si>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</si>
  <si>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</si>
  <si>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</si>
  <si>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</si>
  <si>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</si>
  <si>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</si>
  <si>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</si>
  <si>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</si>
  <si>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</si>
  <si>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</si>
  <si>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</si>
  <si>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</si>
  <si>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</si>
  <si>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</si>
  <si>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</si>
  <si>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</si>
  <si>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</si>
  <si>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</si>
  <si>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</si>
  <si>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</si>
  <si>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</si>
  <si>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</si>
  <si>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</si>
  <si>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</si>
  <si>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</si>
  <si>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</si>
  <si>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</si>
  <si>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</si>
  <si>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</si>
  <si>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</si>
  <si>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</si>
  <si>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</si>
  <si>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</si>
  <si>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</si>
  <si>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</si>
  <si>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</si>
  <si>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</si>
  <si>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</si>
  <si>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</si>
  <si>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</si>
  <si>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</si>
  <si>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</si>
  <si>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</si>
  <si>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</si>
  <si>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</si>
  <si>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</si>
  <si>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</si>
  <si>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</si>
  <si>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</si>
  <si>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</si>
  <si>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</si>
  <si>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</si>
  <si>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</si>
  <si>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</si>
  <si>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</si>
  <si>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</si>
  <si>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</si>
  <si>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</si>
  <si>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</si>
  <si>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</si>
  <si>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</si>
  <si>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</si>
  <si>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</si>
  <si>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</si>
  <si>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</si>
  <si>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</si>
  <si>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</si>
  <si>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</si>
  <si>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</si>
  <si>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</si>
  <si>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</si>
  <si>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</si>
  <si>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</si>
  <si>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</si>
  <si>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</si>
  <si>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</si>
  <si>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</si>
  <si>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</si>
  <si>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</si>
  <si>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</si>
  <si>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</si>
  <si>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</si>
  <si>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</si>
  <si>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</si>
  <si>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</si>
  <si>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</si>
  <si>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</si>
  <si>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</si>
  <si>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</si>
  <si>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</si>
  <si>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</si>
  <si>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</si>
  <si>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</si>
  <si>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</si>
  <si>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</si>
  <si>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</si>
  <si>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</si>
  <si>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</si>
  <si>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</si>
  <si>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</si>
  <si>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</si>
  <si>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</si>
  <si>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</si>
  <si>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</si>
  <si>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</si>
  <si>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</si>
  <si>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</si>
  <si>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</si>
  <si>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</si>
  <si>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</si>
  <si>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</si>
  <si>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</si>
  <si>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</si>
  <si>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</si>
  <si>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</si>
  <si>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</si>
  <si>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</si>
  <si>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</si>
  <si>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</si>
  <si>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</si>
  <si>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</si>
  <si>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</si>
  <si>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</si>
  <si>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</si>
  <si>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</si>
  <si>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</si>
  <si>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</si>
  <si>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</si>
  <si>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</si>
  <si>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</si>
  <si>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</si>
  <si>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</si>
  <si>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</si>
  <si>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</si>
  <si>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</si>
  <si>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</si>
  <si>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</si>
  <si>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</si>
  <si>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</si>
  <si>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</si>
  <si>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</si>
  <si>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</si>
  <si>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</si>
  <si>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</si>
  <si>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</si>
  <si>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</si>
  <si>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</si>
  <si>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</si>
  <si>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</si>
  <si>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</si>
  <si>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</si>
  <si>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</si>
  <si>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</si>
  <si>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</si>
  <si>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</si>
  <si>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</si>
  <si>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</si>
  <si>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</si>
  <si>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</si>
  <si>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</si>
  <si>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</si>
  <si>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</si>
  <si>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</si>
  <si>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</si>
  <si>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</si>
  <si>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</si>
  <si>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</si>
  <si>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</si>
  <si>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</si>
  <si>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</si>
  <si>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</si>
  <si>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</si>
  <si>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</si>
  <si>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</si>
  <si>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</si>
  <si>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</si>
  <si>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</si>
  <si>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</si>
  <si>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</si>
  <si>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</si>
  <si>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</si>
  <si>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</si>
  <si>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</si>
  <si>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</si>
  <si>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</si>
  <si>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</si>
  <si>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</si>
  <si>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</si>
  <si>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</si>
  <si>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</si>
  <si>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</si>
  <si>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</si>
  <si>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</si>
  <si>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</si>
  <si>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</si>
  <si>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</si>
  <si>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</si>
  <si>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</si>
  <si>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</si>
  <si>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</si>
  <si>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</si>
  <si>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</si>
  <si>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</si>
  <si>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</si>
  <si>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</si>
  <si>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</si>
  <si>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</si>
  <si>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</si>
  <si>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</si>
  <si>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</si>
  <si>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</si>
  <si>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</si>
  <si>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</si>
  <si>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</si>
  <si>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</si>
  <si>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</si>
  <si>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</si>
  <si>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</si>
  <si>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</si>
  <si>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</si>
  <si>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</si>
  <si>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</si>
  <si>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</si>
  <si>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</si>
  <si>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</si>
  <si>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</si>
  <si>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</si>
  <si>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</si>
  <si>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</si>
  <si>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</si>
  <si>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</si>
  <si>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</si>
  <si>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</si>
  <si>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</si>
  <si>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</si>
  <si>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</si>
  <si>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</si>
  <si>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</si>
  <si>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</si>
  <si>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</si>
  <si>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</si>
  <si>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</si>
  <si>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</si>
  <si>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</si>
  <si>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</si>
  <si>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</si>
  <si>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</si>
  <si>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</si>
  <si>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</si>
  <si>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</si>
  <si>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</si>
  <si>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</si>
  <si>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</si>
  <si>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</si>
  <si>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</si>
  <si>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</si>
  <si>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</si>
  <si>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</si>
  <si>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</si>
  <si>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</si>
  <si>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</si>
  <si>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</si>
  <si>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</si>
  <si>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</si>
  <si>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</si>
  <si>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</si>
  <si>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</si>
  <si>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</si>
  <si>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</si>
  <si>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</si>
  <si>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</si>
  <si>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</si>
  <si>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</si>
  <si>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</si>
  <si>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</si>
  <si>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</si>
  <si>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</si>
  <si>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</si>
  <si>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</si>
  <si>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</si>
  <si>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</si>
  <si>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</si>
  <si>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</si>
  <si>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</si>
  <si>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</si>
  <si>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</si>
  <si>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</si>
  <si>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</si>
  <si>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</si>
  <si>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</si>
  <si>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</si>
  <si>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</si>
  <si>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</si>
  <si>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</si>
  <si>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</si>
  <si>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</si>
  <si>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</si>
  <si>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</si>
  <si>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</si>
  <si>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</si>
  <si>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</si>
  <si>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</si>
  <si>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</si>
  <si>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</si>
  <si>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</si>
  <si>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</si>
  <si>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</si>
  <si>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</si>
  <si>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</si>
  <si>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</si>
  <si>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</si>
  <si>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</si>
  <si>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</si>
  <si>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</si>
  <si>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</si>
  <si>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</si>
  <si>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</si>
  <si>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</si>
  <si>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</si>
  <si>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</si>
  <si>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</si>
  <si>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</si>
  <si>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</si>
  <si>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</si>
  <si>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</si>
  <si>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</si>
  <si>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</si>
  <si>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</si>
  <si>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</si>
  <si>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</si>
  <si>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</si>
  <si>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</si>
  <si>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</si>
  <si>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</si>
  <si>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</si>
  <si>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</si>
  <si>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</si>
  <si>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</si>
  <si>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</si>
  <si>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</si>
  <si>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</si>
  <si>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</si>
  <si>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</si>
  <si>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</si>
  <si>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</si>
  <si>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</si>
  <si>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</si>
  <si>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</si>
  <si>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</si>
  <si>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</si>
  <si>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</si>
  <si>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</si>
  <si>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</si>
  <si>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</si>
  <si>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</si>
  <si>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</si>
  <si>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</si>
  <si>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</si>
  <si>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</si>
  <si>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</si>
  <si>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</si>
  <si>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</si>
  <si>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</si>
  <si>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</si>
  <si>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</si>
  <si>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</si>
  <si>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</si>
  <si>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</si>
  <si>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</si>
  <si>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</si>
  <si>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</si>
  <si>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</si>
  <si>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</si>
  <si>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</si>
  <si>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</si>
  <si>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</si>
  <si>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</si>
  <si>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</si>
  <si>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HINSDALE SCHOOL DISTRICT</t>
  </si>
  <si>
    <t>08/05</t>
  </si>
  <si>
    <t>02/18</t>
  </si>
  <si>
    <t>08/25</t>
  </si>
  <si>
    <t>08/38</t>
  </si>
  <si>
    <t>Tuitioned student to BUHS</t>
  </si>
  <si>
    <t>Tuition for windham Reg Career Ctr. District does not claim for transportation aid.</t>
  </si>
  <si>
    <t>Transportation cost for Extended Learning programs at various off-campus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</si>
</sst>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255</v>
      </c>
      <c r="C2" s="21">
        <v>255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1119068.26</v>
      </c>
      <c r="G9" s="18"/>
      <c r="H9" s="18"/>
      <c r="I9" s="18">
        <v>1746000.51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82932.33</v>
      </c>
      <c r="G12" s="18">
        <v>23318.97</v>
      </c>
      <c r="H12" s="18">
        <v>3541.61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26093.95</v>
      </c>
      <c r="G13" s="18">
        <v>16971.330000000002</v>
      </c>
      <c r="H13" s="18">
        <v>102442.11</v>
      </c>
      <c r="I13" s="18"/>
      <c r="J13" s="67">
        <f>SUM(I442)</f>
        <v>398690.16000000003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5978.08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802.14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1228094.54</v>
      </c>
      <c r="G19" s="41">
        <f>SUM(G9:G18)</f>
        <v>47070.520000000004</v>
      </c>
      <c r="H19" s="41">
        <f>SUM(H9:H18)</f>
        <v>105983.72</v>
      </c>
      <c r="I19" s="41">
        <f>SUM(I9:I18)</f>
        <v>1746000.51</v>
      </c>
      <c r="J19" s="41">
        <f>SUM(J9:J18)</f>
        <v>398690.16000000003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102442.11</v>
      </c>
      <c r="I22" s="18">
        <v>7350.8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50980.08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130783.53</v>
      </c>
      <c r="G24" s="18">
        <v>25635.91</v>
      </c>
      <c r="H24" s="18"/>
      <c r="I24" s="18">
        <v>39394.42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777806.78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959570.39</v>
      </c>
      <c r="G32" s="41">
        <f>SUM(G22:G31)</f>
        <v>25635.91</v>
      </c>
      <c r="H32" s="41">
        <f>SUM(H22:H31)</f>
        <v>102442.11</v>
      </c>
      <c r="I32" s="41">
        <f>SUM(I22:I31)</f>
        <v>46745.22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21434.61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200318.52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3383.19</v>
      </c>
      <c r="I48" s="18">
        <v>1455886.26</v>
      </c>
      <c r="J48" s="13">
        <f>SUM(I459)</f>
        <v>398690.16000000003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1137.6600000000001</v>
      </c>
      <c r="G49" s="18"/>
      <c r="H49" s="18">
        <v>158.41999999999999</v>
      </c>
      <c r="I49" s="18">
        <v>43050.51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267386.49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268524.14999999997</v>
      </c>
      <c r="G51" s="41">
        <f>SUM(G35:G50)</f>
        <v>21434.61</v>
      </c>
      <c r="H51" s="41">
        <f>SUM(H35:H50)</f>
        <v>3541.61</v>
      </c>
      <c r="I51" s="41">
        <f>SUM(I35:I50)</f>
        <v>1699255.29</v>
      </c>
      <c r="J51" s="41">
        <f>SUM(J35:J50)</f>
        <v>398690.16000000003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1228094.54</v>
      </c>
      <c r="G52" s="41">
        <f>G51+G32</f>
        <v>47070.520000000004</v>
      </c>
      <c r="H52" s="41">
        <f>H51+H32</f>
        <v>105983.72</v>
      </c>
      <c r="I52" s="41">
        <f>I51+I32</f>
        <v>1746000.51</v>
      </c>
      <c r="J52" s="41">
        <f>J51+J32</f>
        <v>398690.16000000003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6074156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6074156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7969.42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10700</v>
      </c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13696.8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>
        <v>15065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32366.219999999998</v>
      </c>
      <c r="G79" s="45" t="s">
        <v>286</v>
      </c>
      <c r="H79" s="41">
        <f>SUM(H63:H78)</f>
        <v>15065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>
        <v>12080.54</v>
      </c>
      <c r="J96" s="18">
        <v>21352.09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91159.95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5930.95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6300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14555.93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44281.95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64768.83</v>
      </c>
      <c r="G111" s="41">
        <f>SUM(G96:G110)</f>
        <v>91159.95</v>
      </c>
      <c r="H111" s="41">
        <f>SUM(H96:H110)</f>
        <v>6300</v>
      </c>
      <c r="I111" s="41">
        <f>SUM(I96:I110)</f>
        <v>12080.54</v>
      </c>
      <c r="J111" s="41">
        <f>SUM(J96:J110)</f>
        <v>21352.09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6171291.0499999998</v>
      </c>
      <c r="G112" s="41">
        <f>G60+G111</f>
        <v>91159.95</v>
      </c>
      <c r="H112" s="41">
        <f>H60+H79+H94+H111</f>
        <v>21365</v>
      </c>
      <c r="I112" s="41">
        <f>I60+I111</f>
        <v>12080.54</v>
      </c>
      <c r="J112" s="41">
        <f>J60+J111</f>
        <v>21352.09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4240901.7699999996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482700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7664.47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4731266.2399999993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462802.59</v>
      </c>
      <c r="G123" s="24" t="s">
        <v>286</v>
      </c>
      <c r="H123" s="24" t="s">
        <v>286</v>
      </c>
      <c r="I123" s="18">
        <v>1800000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44639.47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23426.720000000001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12758.01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530868.78</v>
      </c>
      <c r="G136" s="41">
        <f>SUM(G123:G135)</f>
        <v>12758.01</v>
      </c>
      <c r="H136" s="41">
        <f>SUM(H123:H135)</f>
        <v>0</v>
      </c>
      <c r="I136" s="41">
        <f>SUM(I123:I135)</f>
        <v>1800000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5262135.0199999996</v>
      </c>
      <c r="G140" s="41">
        <f>G121+SUM(G136:G137)</f>
        <v>12758.01</v>
      </c>
      <c r="H140" s="41">
        <f>H121+SUM(H136:H139)</f>
        <v>0</v>
      </c>
      <c r="I140" s="41">
        <f>I121+I136</f>
        <v>1800000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24404.639999999999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233260.35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185794.86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201393.45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138857.54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154410.85999999999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154410.85999999999</v>
      </c>
      <c r="G162" s="41">
        <f>SUM(G150:G161)</f>
        <v>201393.45</v>
      </c>
      <c r="H162" s="41">
        <f>SUM(H150:H161)</f>
        <v>582317.39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154410.85999999999</v>
      </c>
      <c r="G169" s="41">
        <f>G147+G162+SUM(G163:G168)</f>
        <v>201393.45</v>
      </c>
      <c r="H169" s="41">
        <f>H147+H162+SUM(H163:H168)</f>
        <v>582317.39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1385425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>
        <v>114575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1500000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28166.240000000002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28166.240000000002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>
        <v>6450.44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6450.44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28166.240000000002</v>
      </c>
      <c r="G192" s="41">
        <f>G183+SUM(G188:G191)</f>
        <v>0</v>
      </c>
      <c r="H192" s="41">
        <f>+H183+SUM(H188:H191)</f>
        <v>0</v>
      </c>
      <c r="I192" s="41">
        <f>I177+I183+SUM(I188:I191)</f>
        <v>1506450.44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11616003.17</v>
      </c>
      <c r="G193" s="47">
        <f>G112+G140+G169+G192</f>
        <v>305311.41000000003</v>
      </c>
      <c r="H193" s="47">
        <f>H112+H140+H169+H192</f>
        <v>603682.39</v>
      </c>
      <c r="I193" s="47">
        <f>I112+I140+I169+I192</f>
        <v>3318530.98</v>
      </c>
      <c r="J193" s="47">
        <f>J112+J140+J192</f>
        <v>21352.09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1060845.6100000001</v>
      </c>
      <c r="G197" s="18">
        <v>450117.02</v>
      </c>
      <c r="H197" s="18">
        <v>5274.76</v>
      </c>
      <c r="I197" s="18">
        <v>55632.75</v>
      </c>
      <c r="J197" s="18"/>
      <c r="K197" s="18"/>
      <c r="L197" s="19">
        <f>SUM(F197:K197)</f>
        <v>1571870.1400000001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499141.4</v>
      </c>
      <c r="G198" s="18">
        <v>146241.65</v>
      </c>
      <c r="H198" s="18">
        <v>57821.83</v>
      </c>
      <c r="I198" s="18">
        <v>1829.01</v>
      </c>
      <c r="J198" s="18"/>
      <c r="K198" s="18"/>
      <c r="L198" s="19">
        <f>SUM(F198:K198)</f>
        <v>705033.89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15161.89</v>
      </c>
      <c r="G200" s="18">
        <v>2545.23</v>
      </c>
      <c r="H200" s="18"/>
      <c r="I200" s="18"/>
      <c r="J200" s="18"/>
      <c r="K200" s="18"/>
      <c r="L200" s="19">
        <f>SUM(F200:K200)</f>
        <v>17707.12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269400.53999999998</v>
      </c>
      <c r="G202" s="18">
        <v>128067.85</v>
      </c>
      <c r="H202" s="18">
        <v>66836.91</v>
      </c>
      <c r="I202" s="18">
        <v>16027.97</v>
      </c>
      <c r="J202" s="18"/>
      <c r="K202" s="18"/>
      <c r="L202" s="19">
        <f t="shared" ref="L202:L208" si="0">SUM(F202:K202)</f>
        <v>480333.27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45235.15</v>
      </c>
      <c r="G203" s="18">
        <v>4591.51</v>
      </c>
      <c r="H203" s="18">
        <v>15085.21</v>
      </c>
      <c r="I203" s="18">
        <v>5951.15</v>
      </c>
      <c r="J203" s="18"/>
      <c r="K203" s="18">
        <v>362.51</v>
      </c>
      <c r="L203" s="19">
        <f t="shared" si="0"/>
        <v>71225.53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169495.18</v>
      </c>
      <c r="G204" s="18">
        <v>82653.73</v>
      </c>
      <c r="H204" s="18">
        <v>34486.26</v>
      </c>
      <c r="I204" s="18">
        <v>3264.71</v>
      </c>
      <c r="J204" s="18"/>
      <c r="K204" s="18">
        <v>5605.66</v>
      </c>
      <c r="L204" s="19">
        <f t="shared" si="0"/>
        <v>295505.53999999998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165150.6</v>
      </c>
      <c r="G205" s="18">
        <v>76774.429999999993</v>
      </c>
      <c r="H205" s="18">
        <v>4141.75</v>
      </c>
      <c r="I205" s="18">
        <v>4670.1099999999997</v>
      </c>
      <c r="J205" s="18"/>
      <c r="K205" s="18">
        <v>683.85</v>
      </c>
      <c r="L205" s="19">
        <f t="shared" si="0"/>
        <v>251420.74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76613.440000000002</v>
      </c>
      <c r="G206" s="18">
        <v>64347.040000000001</v>
      </c>
      <c r="H206" s="18"/>
      <c r="I206" s="18">
        <v>12606.6</v>
      </c>
      <c r="J206" s="18"/>
      <c r="K206" s="18">
        <v>927.82</v>
      </c>
      <c r="L206" s="19">
        <f t="shared" si="0"/>
        <v>154494.90000000002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162471.75</v>
      </c>
      <c r="G207" s="18">
        <v>100845.74</v>
      </c>
      <c r="H207" s="18">
        <v>116867.14</v>
      </c>
      <c r="I207" s="18">
        <v>167562.97</v>
      </c>
      <c r="J207" s="18">
        <v>7923.28</v>
      </c>
      <c r="K207" s="18"/>
      <c r="L207" s="19">
        <f t="shared" si="0"/>
        <v>555670.88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127244.49</v>
      </c>
      <c r="I208" s="18"/>
      <c r="J208" s="18"/>
      <c r="K208" s="18"/>
      <c r="L208" s="19">
        <f t="shared" si="0"/>
        <v>127244.49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98849.65</v>
      </c>
      <c r="G209" s="18">
        <v>47789.47</v>
      </c>
      <c r="H209" s="18">
        <v>42045.66</v>
      </c>
      <c r="I209" s="18">
        <v>19541.87</v>
      </c>
      <c r="J209" s="18">
        <v>30731.32</v>
      </c>
      <c r="K209" s="18"/>
      <c r="L209" s="19">
        <f>SUM(F209:K209)</f>
        <v>238957.97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2562365.21</v>
      </c>
      <c r="G211" s="41">
        <f t="shared" si="1"/>
        <v>1103973.67</v>
      </c>
      <c r="H211" s="41">
        <f t="shared" si="1"/>
        <v>469804.01</v>
      </c>
      <c r="I211" s="41">
        <f t="shared" si="1"/>
        <v>287087.14</v>
      </c>
      <c r="J211" s="41">
        <f t="shared" si="1"/>
        <v>38654.6</v>
      </c>
      <c r="K211" s="41">
        <f t="shared" si="1"/>
        <v>7579.84</v>
      </c>
      <c r="L211" s="41">
        <f t="shared" si="1"/>
        <v>4469464.47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676256.76</v>
      </c>
      <c r="G215" s="18">
        <v>346583.35</v>
      </c>
      <c r="H215" s="18">
        <v>7300.04</v>
      </c>
      <c r="I215" s="18">
        <v>31218.89</v>
      </c>
      <c r="J215" s="18"/>
      <c r="K215" s="18">
        <v>88</v>
      </c>
      <c r="L215" s="19">
        <f>SUM(F215:K215)</f>
        <v>1061447.04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180570.69</v>
      </c>
      <c r="G216" s="18">
        <v>49875.42</v>
      </c>
      <c r="H216" s="18">
        <v>115643.64</v>
      </c>
      <c r="I216" s="18">
        <v>962.45</v>
      </c>
      <c r="J216" s="18"/>
      <c r="K216" s="18"/>
      <c r="L216" s="19">
        <f>SUM(F216:K216)</f>
        <v>347052.2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14998.92</v>
      </c>
      <c r="G218" s="18">
        <v>2771.64</v>
      </c>
      <c r="H218" s="18"/>
      <c r="I218" s="18"/>
      <c r="J218" s="18"/>
      <c r="K218" s="18"/>
      <c r="L218" s="19">
        <f>SUM(F218:K218)</f>
        <v>17770.560000000001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160231.10999999999</v>
      </c>
      <c r="G220" s="18">
        <v>84243.6</v>
      </c>
      <c r="H220" s="18">
        <v>28553.43</v>
      </c>
      <c r="I220" s="18">
        <v>4163.0600000000004</v>
      </c>
      <c r="J220" s="18"/>
      <c r="K220" s="18"/>
      <c r="L220" s="19">
        <f t="shared" ref="L220:L226" si="2">SUM(F220:K220)</f>
        <v>277191.2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29702.66</v>
      </c>
      <c r="G221" s="18">
        <v>6960.28</v>
      </c>
      <c r="H221" s="18">
        <v>6579.91</v>
      </c>
      <c r="I221" s="18">
        <v>10301.18</v>
      </c>
      <c r="J221" s="18"/>
      <c r="K221" s="18">
        <v>146.4</v>
      </c>
      <c r="L221" s="19">
        <f t="shared" si="2"/>
        <v>53690.430000000008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68449.97</v>
      </c>
      <c r="G222" s="18">
        <v>33379.4</v>
      </c>
      <c r="H222" s="18">
        <v>13927.14</v>
      </c>
      <c r="I222" s="18">
        <v>1318.44</v>
      </c>
      <c r="J222" s="18"/>
      <c r="K222" s="18">
        <v>2263.83</v>
      </c>
      <c r="L222" s="19">
        <f t="shared" si="2"/>
        <v>119338.78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109371.86</v>
      </c>
      <c r="G223" s="18">
        <v>29335.73</v>
      </c>
      <c r="H223" s="18">
        <v>3981.86</v>
      </c>
      <c r="I223" s="18">
        <v>1402.44</v>
      </c>
      <c r="J223" s="18"/>
      <c r="K223" s="18"/>
      <c r="L223" s="19">
        <f t="shared" si="2"/>
        <v>144091.88999999998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30940.04</v>
      </c>
      <c r="G224" s="18">
        <v>25986.31</v>
      </c>
      <c r="H224" s="18"/>
      <c r="I224" s="18">
        <v>5091.13</v>
      </c>
      <c r="J224" s="18"/>
      <c r="K224" s="18">
        <v>374.7</v>
      </c>
      <c r="L224" s="19">
        <f t="shared" si="2"/>
        <v>62392.18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65613.59</v>
      </c>
      <c r="G225" s="18">
        <v>40726.17</v>
      </c>
      <c r="H225" s="18">
        <v>47196.35</v>
      </c>
      <c r="I225" s="18">
        <v>67669.66</v>
      </c>
      <c r="J225" s="18">
        <v>3199.78</v>
      </c>
      <c r="K225" s="18"/>
      <c r="L225" s="19">
        <f t="shared" si="2"/>
        <v>224405.55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82264.570000000007</v>
      </c>
      <c r="I226" s="18"/>
      <c r="J226" s="18"/>
      <c r="K226" s="18"/>
      <c r="L226" s="19">
        <f t="shared" si="2"/>
        <v>82264.570000000007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39920.06</v>
      </c>
      <c r="G227" s="18">
        <v>19299.59</v>
      </c>
      <c r="H227" s="18">
        <v>16979.98</v>
      </c>
      <c r="I227" s="18">
        <v>7891.91</v>
      </c>
      <c r="J227" s="18">
        <v>12410.73</v>
      </c>
      <c r="K227" s="18"/>
      <c r="L227" s="19">
        <f>SUM(F227:K227)</f>
        <v>96502.26999999999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1376055.6600000001</v>
      </c>
      <c r="G229" s="41">
        <f>SUM(G215:G228)</f>
        <v>639161.49000000011</v>
      </c>
      <c r="H229" s="41">
        <f>SUM(H215:H228)</f>
        <v>322426.91999999993</v>
      </c>
      <c r="I229" s="41">
        <f>SUM(I215:I228)</f>
        <v>130019.16</v>
      </c>
      <c r="J229" s="41">
        <f>SUM(J215:J228)</f>
        <v>15610.51</v>
      </c>
      <c r="K229" s="41">
        <f t="shared" si="3"/>
        <v>2872.93</v>
      </c>
      <c r="L229" s="41">
        <f t="shared" si="3"/>
        <v>2486146.6699999995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860690.42</v>
      </c>
      <c r="G233" s="18">
        <v>441106.09</v>
      </c>
      <c r="H233" s="18">
        <v>23408.36</v>
      </c>
      <c r="I233" s="18">
        <v>56224.25</v>
      </c>
      <c r="J233" s="18"/>
      <c r="K233" s="18">
        <v>112</v>
      </c>
      <c r="L233" s="19">
        <f>SUM(F233:K233)</f>
        <v>1381541.12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228870.65</v>
      </c>
      <c r="G234" s="18">
        <v>63477.8</v>
      </c>
      <c r="H234" s="18">
        <v>461272.29</v>
      </c>
      <c r="I234" s="18">
        <v>1224.93</v>
      </c>
      <c r="J234" s="18"/>
      <c r="K234" s="18"/>
      <c r="L234" s="19">
        <f>SUM(F234:K234)</f>
        <v>754845.67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5270</v>
      </c>
      <c r="G235" s="18">
        <v>403.16</v>
      </c>
      <c r="H235" s="18">
        <v>92046.87</v>
      </c>
      <c r="I235" s="18"/>
      <c r="J235" s="18"/>
      <c r="K235" s="18"/>
      <c r="L235" s="19">
        <f>SUM(F235:K235)</f>
        <v>97720.03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95286.14</v>
      </c>
      <c r="G236" s="18">
        <v>17647.599999999999</v>
      </c>
      <c r="H236" s="18">
        <v>27122.17</v>
      </c>
      <c r="I236" s="18">
        <v>27611.75</v>
      </c>
      <c r="J236" s="18">
        <v>4237.8500000000004</v>
      </c>
      <c r="K236" s="18">
        <v>2150.59</v>
      </c>
      <c r="L236" s="19">
        <f>SUM(F236:K236)</f>
        <v>174056.09999999998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204496.79</v>
      </c>
      <c r="G238" s="18">
        <v>107522.28</v>
      </c>
      <c r="H238" s="18">
        <v>36690.379999999997</v>
      </c>
      <c r="I238" s="18">
        <v>5309.73</v>
      </c>
      <c r="J238" s="18"/>
      <c r="K238" s="18">
        <v>100</v>
      </c>
      <c r="L238" s="19">
        <f t="shared" ref="L238:L244" si="4">SUM(F238:K238)</f>
        <v>354119.18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37959.339999999997</v>
      </c>
      <c r="G239" s="18">
        <v>8876.4</v>
      </c>
      <c r="H239" s="18">
        <v>8453.56</v>
      </c>
      <c r="I239" s="18">
        <v>13122.5</v>
      </c>
      <c r="J239" s="18"/>
      <c r="K239" s="18">
        <v>188.23</v>
      </c>
      <c r="L239" s="19">
        <f t="shared" si="4"/>
        <v>68600.029999999984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88007.11</v>
      </c>
      <c r="G240" s="18">
        <v>42916.37</v>
      </c>
      <c r="H240" s="18">
        <v>17906.330000000002</v>
      </c>
      <c r="I240" s="18">
        <v>1695.14</v>
      </c>
      <c r="J240" s="18"/>
      <c r="K240" s="18">
        <v>2910.64</v>
      </c>
      <c r="L240" s="19">
        <f t="shared" si="4"/>
        <v>153435.59000000003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139232.48000000001</v>
      </c>
      <c r="G241" s="18">
        <v>37344.370000000003</v>
      </c>
      <c r="H241" s="18">
        <v>5067.82</v>
      </c>
      <c r="I241" s="18">
        <v>1784.92</v>
      </c>
      <c r="J241" s="18"/>
      <c r="K241" s="18">
        <v>3859</v>
      </c>
      <c r="L241" s="19">
        <f t="shared" si="4"/>
        <v>187288.59000000003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39780.050000000003</v>
      </c>
      <c r="G242" s="18">
        <v>33410.959999999999</v>
      </c>
      <c r="H242" s="18"/>
      <c r="I242" s="18">
        <v>6545.74</v>
      </c>
      <c r="J242" s="18"/>
      <c r="K242" s="18">
        <v>481.75</v>
      </c>
      <c r="L242" s="19">
        <f t="shared" si="4"/>
        <v>80218.500000000015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84360.33</v>
      </c>
      <c r="G243" s="18">
        <v>52362.21</v>
      </c>
      <c r="H243" s="18">
        <v>60681.02</v>
      </c>
      <c r="I243" s="18">
        <v>87003.85</v>
      </c>
      <c r="J243" s="18">
        <v>4114.01</v>
      </c>
      <c r="K243" s="18"/>
      <c r="L243" s="19">
        <f t="shared" si="4"/>
        <v>288521.42000000004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13454.74</v>
      </c>
      <c r="G244" s="18">
        <v>1029.26</v>
      </c>
      <c r="H244" s="18">
        <v>234368.78</v>
      </c>
      <c r="I244" s="18"/>
      <c r="J244" s="18"/>
      <c r="K244" s="18"/>
      <c r="L244" s="19">
        <f t="shared" si="4"/>
        <v>248852.78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51325.79</v>
      </c>
      <c r="G245" s="18">
        <v>24813.759999999998</v>
      </c>
      <c r="H245" s="18">
        <v>21831.4</v>
      </c>
      <c r="I245" s="18">
        <v>10146.74</v>
      </c>
      <c r="J245" s="18">
        <v>15956.65</v>
      </c>
      <c r="K245" s="18"/>
      <c r="L245" s="19">
        <f>SUM(F245:K245)</f>
        <v>124074.34000000001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1848733.8400000003</v>
      </c>
      <c r="G247" s="41">
        <f t="shared" si="5"/>
        <v>830910.25999999989</v>
      </c>
      <c r="H247" s="41">
        <f t="shared" si="5"/>
        <v>988848.9800000001</v>
      </c>
      <c r="I247" s="41">
        <f t="shared" si="5"/>
        <v>210669.55</v>
      </c>
      <c r="J247" s="41">
        <f t="shared" si="5"/>
        <v>24308.510000000002</v>
      </c>
      <c r="K247" s="41">
        <f t="shared" si="5"/>
        <v>9802.2099999999991</v>
      </c>
      <c r="L247" s="41">
        <f t="shared" si="5"/>
        <v>3913273.3499999992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5787154.7100000009</v>
      </c>
      <c r="G257" s="41">
        <f t="shared" si="8"/>
        <v>2574045.42</v>
      </c>
      <c r="H257" s="41">
        <f t="shared" si="8"/>
        <v>1781079.9100000001</v>
      </c>
      <c r="I257" s="41">
        <f t="shared" si="8"/>
        <v>627775.85000000009</v>
      </c>
      <c r="J257" s="41">
        <f t="shared" si="8"/>
        <v>78573.62</v>
      </c>
      <c r="K257" s="41">
        <f t="shared" si="8"/>
        <v>20254.98</v>
      </c>
      <c r="L257" s="41">
        <f t="shared" si="8"/>
        <v>10868884.489999998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650000</v>
      </c>
      <c r="L260" s="19">
        <f>SUM(F260:K260)</f>
        <v>650000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225473.5</v>
      </c>
      <c r="L261" s="19">
        <f>SUM(F261:K261)</f>
        <v>225473.5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875473.5</v>
      </c>
      <c r="L270" s="41">
        <f t="shared" si="9"/>
        <v>875473.5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5787154.7100000009</v>
      </c>
      <c r="G271" s="42">
        <f t="shared" si="11"/>
        <v>2574045.42</v>
      </c>
      <c r="H271" s="42">
        <f t="shared" si="11"/>
        <v>1781079.9100000001</v>
      </c>
      <c r="I271" s="42">
        <f t="shared" si="11"/>
        <v>627775.85000000009</v>
      </c>
      <c r="J271" s="42">
        <f t="shared" si="11"/>
        <v>78573.62</v>
      </c>
      <c r="K271" s="42">
        <f t="shared" si="11"/>
        <v>895728.48</v>
      </c>
      <c r="L271" s="42">
        <f t="shared" si="11"/>
        <v>11744357.989999998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173918.93</v>
      </c>
      <c r="G276" s="18">
        <v>24419.9</v>
      </c>
      <c r="H276" s="18">
        <v>675</v>
      </c>
      <c r="I276" s="18">
        <v>17214.990000000002</v>
      </c>
      <c r="J276" s="18">
        <v>1111.0899999999999</v>
      </c>
      <c r="K276" s="18"/>
      <c r="L276" s="19">
        <f>SUM(F276:K276)</f>
        <v>217339.90999999997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4497.58</v>
      </c>
      <c r="J277" s="18">
        <v>725.87</v>
      </c>
      <c r="K277" s="18"/>
      <c r="L277" s="19">
        <f>SUM(F277:K277)</f>
        <v>5223.45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44854.12</v>
      </c>
      <c r="G282" s="18">
        <v>9965.42</v>
      </c>
      <c r="H282" s="18">
        <v>21723.91</v>
      </c>
      <c r="I282" s="18">
        <v>4756.3500000000004</v>
      </c>
      <c r="J282" s="18"/>
      <c r="K282" s="18">
        <v>1718.79</v>
      </c>
      <c r="L282" s="19">
        <f t="shared" si="12"/>
        <v>83018.59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21510.09</v>
      </c>
      <c r="G284" s="18">
        <v>5333.08</v>
      </c>
      <c r="H284" s="18"/>
      <c r="I284" s="18"/>
      <c r="J284" s="18"/>
      <c r="K284" s="18"/>
      <c r="L284" s="19">
        <f t="shared" si="12"/>
        <v>26843.17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240283.13999999998</v>
      </c>
      <c r="G290" s="42">
        <f t="shared" si="13"/>
        <v>39718.400000000001</v>
      </c>
      <c r="H290" s="42">
        <f t="shared" si="13"/>
        <v>22398.91</v>
      </c>
      <c r="I290" s="42">
        <f t="shared" si="13"/>
        <v>26468.92</v>
      </c>
      <c r="J290" s="42">
        <f t="shared" si="13"/>
        <v>1836.96</v>
      </c>
      <c r="K290" s="42">
        <f t="shared" si="13"/>
        <v>1718.79</v>
      </c>
      <c r="L290" s="41">
        <f t="shared" si="13"/>
        <v>332425.11999999994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39972.97</v>
      </c>
      <c r="G295" s="18">
        <v>8139.97</v>
      </c>
      <c r="H295" s="18">
        <v>225</v>
      </c>
      <c r="I295" s="18">
        <v>5738.33</v>
      </c>
      <c r="J295" s="18">
        <v>370.36</v>
      </c>
      <c r="K295" s="18"/>
      <c r="L295" s="19">
        <f>SUM(F295:K295)</f>
        <v>54446.630000000005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12902.59</v>
      </c>
      <c r="G296" s="18">
        <v>2618.71</v>
      </c>
      <c r="H296" s="18"/>
      <c r="I296" s="18"/>
      <c r="J296" s="18"/>
      <c r="K296" s="18"/>
      <c r="L296" s="19">
        <f>SUM(F296:K296)</f>
        <v>15521.3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14951.37</v>
      </c>
      <c r="G301" s="18">
        <v>3321.8</v>
      </c>
      <c r="H301" s="18">
        <v>8773.1200000000008</v>
      </c>
      <c r="I301" s="18">
        <v>1920.83</v>
      </c>
      <c r="J301" s="18"/>
      <c r="K301" s="18">
        <v>635.72</v>
      </c>
      <c r="L301" s="19">
        <f t="shared" si="14"/>
        <v>29602.840000000004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7955.79</v>
      </c>
      <c r="G303" s="18">
        <v>1972.51</v>
      </c>
      <c r="H303" s="18"/>
      <c r="I303" s="18"/>
      <c r="J303" s="18"/>
      <c r="K303" s="18"/>
      <c r="L303" s="19">
        <f t="shared" si="14"/>
        <v>9928.2999999999993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75782.719999999987</v>
      </c>
      <c r="G309" s="42">
        <f t="shared" si="15"/>
        <v>16052.99</v>
      </c>
      <c r="H309" s="42">
        <f t="shared" si="15"/>
        <v>8998.1200000000008</v>
      </c>
      <c r="I309" s="42">
        <f t="shared" si="15"/>
        <v>7659.16</v>
      </c>
      <c r="J309" s="42">
        <f t="shared" si="15"/>
        <v>370.36</v>
      </c>
      <c r="K309" s="42">
        <f t="shared" si="15"/>
        <v>635.72</v>
      </c>
      <c r="L309" s="41">
        <f t="shared" si="15"/>
        <v>109499.07000000002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90810.71</v>
      </c>
      <c r="G315" s="18">
        <v>27302.080000000002</v>
      </c>
      <c r="H315" s="18"/>
      <c r="I315" s="18"/>
      <c r="J315" s="18"/>
      <c r="K315" s="18"/>
      <c r="L315" s="19">
        <f>SUM(F315:K315)</f>
        <v>118112.79000000001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>
        <v>5961.03</v>
      </c>
      <c r="K316" s="18"/>
      <c r="L316" s="19">
        <f>SUM(F316:K316)</f>
        <v>5961.03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>
        <v>4500</v>
      </c>
      <c r="L319" s="19">
        <f t="shared" ref="L319:L325" si="16">SUM(F319:K319)</f>
        <v>4500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11279.72</v>
      </c>
      <c r="I320" s="18">
        <v>2311.2199999999998</v>
      </c>
      <c r="J320" s="18"/>
      <c r="K320" s="18"/>
      <c r="L320" s="19">
        <f t="shared" si="16"/>
        <v>13590.939999999999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90810.71</v>
      </c>
      <c r="G328" s="42">
        <f t="shared" si="17"/>
        <v>27302.080000000002</v>
      </c>
      <c r="H328" s="42">
        <f t="shared" si="17"/>
        <v>11279.72</v>
      </c>
      <c r="I328" s="42">
        <f t="shared" si="17"/>
        <v>2311.2199999999998</v>
      </c>
      <c r="J328" s="42">
        <f t="shared" si="17"/>
        <v>5961.03</v>
      </c>
      <c r="K328" s="42">
        <f t="shared" si="17"/>
        <v>4500</v>
      </c>
      <c r="L328" s="41">
        <f t="shared" si="17"/>
        <v>142164.76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406876.57</v>
      </c>
      <c r="G338" s="41">
        <f t="shared" si="20"/>
        <v>83073.47</v>
      </c>
      <c r="H338" s="41">
        <f t="shared" si="20"/>
        <v>42676.75</v>
      </c>
      <c r="I338" s="41">
        <f t="shared" si="20"/>
        <v>36439.300000000003</v>
      </c>
      <c r="J338" s="41">
        <f t="shared" si="20"/>
        <v>8168.35</v>
      </c>
      <c r="K338" s="41">
        <f t="shared" si="20"/>
        <v>6854.51</v>
      </c>
      <c r="L338" s="41">
        <f t="shared" si="20"/>
        <v>584088.94999999995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28166.240000000002</v>
      </c>
      <c r="L344" s="19">
        <f t="shared" ref="L344:L350" si="21">SUM(F344:K344)</f>
        <v>28166.240000000002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28166.240000000002</v>
      </c>
      <c r="L351" s="41">
        <f>SUM(L341:L350)</f>
        <v>28166.240000000002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406876.57</v>
      </c>
      <c r="G352" s="41">
        <f>G338</f>
        <v>83073.47</v>
      </c>
      <c r="H352" s="41">
        <f>H338</f>
        <v>42676.75</v>
      </c>
      <c r="I352" s="41">
        <f>I338</f>
        <v>36439.300000000003</v>
      </c>
      <c r="J352" s="41">
        <f>J338</f>
        <v>8168.35</v>
      </c>
      <c r="K352" s="47">
        <f>K338+K351</f>
        <v>35020.75</v>
      </c>
      <c r="L352" s="41">
        <f>L338+L351</f>
        <v>612255.18999999994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152401.89000000001</v>
      </c>
      <c r="I358" s="18"/>
      <c r="J358" s="18"/>
      <c r="K358" s="18"/>
      <c r="L358" s="13">
        <f>SUM(F358:K358)</f>
        <v>152401.89000000001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61546.92</v>
      </c>
      <c r="I359" s="18"/>
      <c r="J359" s="18"/>
      <c r="K359" s="18"/>
      <c r="L359" s="19">
        <f>SUM(F359:K359)</f>
        <v>61546.92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79131.75</v>
      </c>
      <c r="I360" s="18"/>
      <c r="J360" s="18"/>
      <c r="K360" s="18"/>
      <c r="L360" s="19">
        <f>SUM(F360:K360)</f>
        <v>79131.75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293080.56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293080.56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305493.33</v>
      </c>
      <c r="I376" s="18"/>
      <c r="J376" s="18"/>
      <c r="K376" s="18"/>
      <c r="L376" s="13">
        <f t="shared" si="23"/>
        <v>305493.33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1313782.3600000001</v>
      </c>
      <c r="I378" s="18"/>
      <c r="J378" s="18"/>
      <c r="K378" s="18"/>
      <c r="L378" s="13">
        <f t="shared" si="23"/>
        <v>1313782.3600000001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1619275.6900000002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1619275.6900000002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516.66</v>
      </c>
      <c r="I389" s="18"/>
      <c r="J389" s="24" t="s">
        <v>286</v>
      </c>
      <c r="K389" s="24" t="s">
        <v>286</v>
      </c>
      <c r="L389" s="56">
        <f t="shared" si="25"/>
        <v>516.66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516.66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516.66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964.21</v>
      </c>
      <c r="I396" s="18"/>
      <c r="J396" s="24" t="s">
        <v>286</v>
      </c>
      <c r="K396" s="24" t="s">
        <v>286</v>
      </c>
      <c r="L396" s="56">
        <f t="shared" si="26"/>
        <v>964.21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19871.22</v>
      </c>
      <c r="I397" s="18"/>
      <c r="J397" s="24" t="s">
        <v>286</v>
      </c>
      <c r="K397" s="24" t="s">
        <v>286</v>
      </c>
      <c r="L397" s="56">
        <f t="shared" si="26"/>
        <v>19871.22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20835.43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20835.43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21352.09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21352.09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6450.44</v>
      </c>
      <c r="L422" s="56">
        <f t="shared" si="29"/>
        <v>6450.44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6450.44</v>
      </c>
      <c r="L427" s="47">
        <f t="shared" si="30"/>
        <v>6450.44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6450.44</v>
      </c>
      <c r="L434" s="47">
        <f t="shared" si="32"/>
        <v>6450.44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33259.14</v>
      </c>
      <c r="G442" s="18">
        <v>365431.02</v>
      </c>
      <c r="H442" s="18"/>
      <c r="I442" s="56">
        <f t="shared" si="33"/>
        <v>398690.16000000003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33259.14</v>
      </c>
      <c r="G446" s="13">
        <f>SUM(G439:G445)</f>
        <v>365431.02</v>
      </c>
      <c r="H446" s="13">
        <f>SUM(H439:H445)</f>
        <v>0</v>
      </c>
      <c r="I446" s="13">
        <f>SUM(I439:I445)</f>
        <v>398690.16000000003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33259.14</v>
      </c>
      <c r="G459" s="18">
        <v>365431.02</v>
      </c>
      <c r="H459" s="18"/>
      <c r="I459" s="56">
        <f t="shared" si="34"/>
        <v>398690.16000000003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33259.14</v>
      </c>
      <c r="G460" s="83">
        <f>SUM(G454:G459)</f>
        <v>365431.02</v>
      </c>
      <c r="H460" s="83">
        <f>SUM(H454:H459)</f>
        <v>0</v>
      </c>
      <c r="I460" s="83">
        <f>SUM(I454:I459)</f>
        <v>398690.16000000003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33259.14</v>
      </c>
      <c r="G461" s="42">
        <f>G452+G460</f>
        <v>365431.02</v>
      </c>
      <c r="H461" s="42">
        <f>H452+H460</f>
        <v>0</v>
      </c>
      <c r="I461" s="42">
        <f>I452+I460</f>
        <v>398690.16000000003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396878.97</v>
      </c>
      <c r="G465" s="18">
        <v>9203.76</v>
      </c>
      <c r="H465" s="18">
        <v>12114.41</v>
      </c>
      <c r="I465" s="18">
        <v>0</v>
      </c>
      <c r="J465" s="18">
        <v>383788.51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11616003.17</v>
      </c>
      <c r="G468" s="18">
        <v>305311.40999999997</v>
      </c>
      <c r="H468" s="18">
        <v>603682.39</v>
      </c>
      <c r="I468" s="18">
        <v>3318530.98</v>
      </c>
      <c r="J468" s="18">
        <v>21352.09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11616003.17</v>
      </c>
      <c r="G470" s="53">
        <f>SUM(G468:G469)</f>
        <v>305311.40999999997</v>
      </c>
      <c r="H470" s="53">
        <f>SUM(H468:H469)</f>
        <v>603682.39</v>
      </c>
      <c r="I470" s="53">
        <f>SUM(I468:I469)</f>
        <v>3318530.98</v>
      </c>
      <c r="J470" s="53">
        <f>SUM(J468:J469)</f>
        <v>21352.09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11744357.99</v>
      </c>
      <c r="G472" s="18">
        <v>293080.56</v>
      </c>
      <c r="H472" s="18">
        <v>612255.18999999994</v>
      </c>
      <c r="I472" s="18">
        <v>1619275.69</v>
      </c>
      <c r="J472" s="18">
        <v>6450.44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11744357.99</v>
      </c>
      <c r="G474" s="53">
        <f>SUM(G472:G473)</f>
        <v>293080.56</v>
      </c>
      <c r="H474" s="53">
        <f>SUM(H472:H473)</f>
        <v>612255.18999999994</v>
      </c>
      <c r="I474" s="53">
        <f>SUM(I472:I473)</f>
        <v>1619275.69</v>
      </c>
      <c r="J474" s="53">
        <f>SUM(J472:J473)</f>
        <v>6450.44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268524.15000000037</v>
      </c>
      <c r="G476" s="53">
        <f>(G465+G470)- G474</f>
        <v>21434.609999999986</v>
      </c>
      <c r="H476" s="53">
        <f>(H465+H470)- H474</f>
        <v>3541.6100000001024</v>
      </c>
      <c r="I476" s="53">
        <f>(I465+I470)- I474</f>
        <v>1699255.29</v>
      </c>
      <c r="J476" s="53">
        <f>(J465+J470)- J474</f>
        <v>398690.16000000003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13032960</v>
      </c>
      <c r="G493" s="18">
        <v>1385425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4.04</v>
      </c>
      <c r="G494" s="18">
        <v>2.4247000000000001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5850000</v>
      </c>
      <c r="G495" s="18">
        <v>0</v>
      </c>
      <c r="H495" s="18"/>
      <c r="I495" s="18"/>
      <c r="J495" s="18"/>
      <c r="K495" s="53">
        <f>SUM(F495:J495)</f>
        <v>5850000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1385425</v>
      </c>
      <c r="H496" s="18"/>
      <c r="I496" s="18"/>
      <c r="J496" s="18"/>
      <c r="K496" s="53">
        <f t="shared" ref="K496:K503" si="35">SUM(F496:J496)</f>
        <v>1385425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650000</v>
      </c>
      <c r="G497" s="18">
        <v>0</v>
      </c>
      <c r="H497" s="18"/>
      <c r="I497" s="18"/>
      <c r="J497" s="18"/>
      <c r="K497" s="53">
        <f t="shared" si="35"/>
        <v>650000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5200000</v>
      </c>
      <c r="G498" s="204">
        <v>1385425</v>
      </c>
      <c r="H498" s="204"/>
      <c r="I498" s="204"/>
      <c r="J498" s="204"/>
      <c r="K498" s="205">
        <f t="shared" si="35"/>
        <v>6585425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625656.25</v>
      </c>
      <c r="G499" s="18">
        <v>543317.99</v>
      </c>
      <c r="H499" s="18"/>
      <c r="I499" s="18"/>
      <c r="J499" s="18"/>
      <c r="K499" s="53">
        <f t="shared" si="35"/>
        <v>1168974.24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5825656.25</v>
      </c>
      <c r="G500" s="42">
        <f>SUM(G498:G499)</f>
        <v>1928742.99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7754399.2400000002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650000</v>
      </c>
      <c r="G501" s="204">
        <v>70425</v>
      </c>
      <c r="H501" s="204"/>
      <c r="I501" s="204"/>
      <c r="J501" s="204"/>
      <c r="K501" s="205">
        <f t="shared" si="35"/>
        <v>720425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165137.5</v>
      </c>
      <c r="G502" s="18">
        <v>443470.85</v>
      </c>
      <c r="H502" s="18"/>
      <c r="I502" s="18"/>
      <c r="J502" s="18"/>
      <c r="K502" s="53">
        <f t="shared" si="35"/>
        <v>608608.35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815137.5</v>
      </c>
      <c r="G503" s="42">
        <f>SUM(G501:G502)</f>
        <v>513895.85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1329033.3500000001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520952.14</v>
      </c>
      <c r="G521" s="18">
        <v>150548.14000000001</v>
      </c>
      <c r="H521" s="18">
        <v>56519.54</v>
      </c>
      <c r="I521" s="18">
        <v>4427.26</v>
      </c>
      <c r="J521" s="18">
        <v>725.87</v>
      </c>
      <c r="K521" s="18"/>
      <c r="L521" s="88">
        <f>SUM(F521:K521)</f>
        <v>733172.95000000007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210384.52</v>
      </c>
      <c r="G522" s="18">
        <v>60798.29</v>
      </c>
      <c r="H522" s="18">
        <v>138051.25</v>
      </c>
      <c r="I522" s="18">
        <v>1787.93</v>
      </c>
      <c r="J522" s="18"/>
      <c r="K522" s="18"/>
      <c r="L522" s="88">
        <f>SUM(F522:K522)</f>
        <v>411021.99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270494.38</v>
      </c>
      <c r="G523" s="18">
        <v>78169.23</v>
      </c>
      <c r="H523" s="18">
        <v>414153.75</v>
      </c>
      <c r="I523" s="18">
        <v>2298.7800000000002</v>
      </c>
      <c r="J523" s="18"/>
      <c r="K523" s="18"/>
      <c r="L523" s="88">
        <f>SUM(F523:K523)</f>
        <v>765116.14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1001831.04</v>
      </c>
      <c r="G524" s="108">
        <f t="shared" ref="G524:L524" si="36">SUM(G521:G523)</f>
        <v>289515.66000000003</v>
      </c>
      <c r="H524" s="108">
        <f t="shared" si="36"/>
        <v>608724.54</v>
      </c>
      <c r="I524" s="108">
        <f t="shared" si="36"/>
        <v>8513.9700000000012</v>
      </c>
      <c r="J524" s="108">
        <f t="shared" si="36"/>
        <v>725.87</v>
      </c>
      <c r="K524" s="108">
        <f t="shared" si="36"/>
        <v>0</v>
      </c>
      <c r="L524" s="89">
        <f t="shared" si="36"/>
        <v>1909311.08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107973.54</v>
      </c>
      <c r="G526" s="18">
        <v>57798.91</v>
      </c>
      <c r="H526" s="18">
        <v>66667.89</v>
      </c>
      <c r="I526" s="18">
        <v>2153.5500000000002</v>
      </c>
      <c r="J526" s="18"/>
      <c r="K526" s="18"/>
      <c r="L526" s="88">
        <f>SUM(F526:K526)</f>
        <v>234593.89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43604.7</v>
      </c>
      <c r="G527" s="18">
        <v>23341.87</v>
      </c>
      <c r="H527" s="18">
        <v>26923.57</v>
      </c>
      <c r="I527" s="18">
        <v>869.7</v>
      </c>
      <c r="J527" s="18"/>
      <c r="K527" s="18"/>
      <c r="L527" s="88">
        <f>SUM(F527:K527)</f>
        <v>94739.839999999982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56063.18</v>
      </c>
      <c r="G528" s="18">
        <v>30010.97</v>
      </c>
      <c r="H528" s="18">
        <v>60629.24</v>
      </c>
      <c r="I528" s="18">
        <v>1118.19</v>
      </c>
      <c r="J528" s="18"/>
      <c r="K528" s="18"/>
      <c r="L528" s="88">
        <f>SUM(F528:K528)</f>
        <v>147821.57999999999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207641.41999999998</v>
      </c>
      <c r="G529" s="89">
        <f t="shared" ref="G529:L529" si="37">SUM(G526:G528)</f>
        <v>111151.75</v>
      </c>
      <c r="H529" s="89">
        <f t="shared" si="37"/>
        <v>154220.69999999998</v>
      </c>
      <c r="I529" s="89">
        <f t="shared" si="37"/>
        <v>4141.4400000000005</v>
      </c>
      <c r="J529" s="89">
        <f t="shared" si="37"/>
        <v>0</v>
      </c>
      <c r="K529" s="89">
        <f t="shared" si="37"/>
        <v>0</v>
      </c>
      <c r="L529" s="89">
        <f t="shared" si="37"/>
        <v>477155.30999999994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90366.42</v>
      </c>
      <c r="G531" s="18">
        <v>41641.120000000003</v>
      </c>
      <c r="H531" s="18">
        <v>1221.6600000000001</v>
      </c>
      <c r="I531" s="18">
        <v>133.04</v>
      </c>
      <c r="J531" s="18"/>
      <c r="K531" s="18">
        <v>617.24</v>
      </c>
      <c r="L531" s="88">
        <f>SUM(F531:K531)</f>
        <v>133979.48000000001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36494.129999999997</v>
      </c>
      <c r="G532" s="18">
        <v>16816.599999999999</v>
      </c>
      <c r="H532" s="18">
        <v>493.36</v>
      </c>
      <c r="I532" s="18">
        <v>53.73</v>
      </c>
      <c r="J532" s="18"/>
      <c r="K532" s="18">
        <v>249.27</v>
      </c>
      <c r="L532" s="88">
        <f>SUM(F532:K532)</f>
        <v>54107.09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46921.02</v>
      </c>
      <c r="G533" s="18">
        <v>21621.35</v>
      </c>
      <c r="H533" s="18">
        <v>634.32000000000005</v>
      </c>
      <c r="I533" s="18">
        <v>69.08</v>
      </c>
      <c r="J533" s="18"/>
      <c r="K533" s="18">
        <v>320.49</v>
      </c>
      <c r="L533" s="88">
        <f>SUM(F533:K533)</f>
        <v>69566.260000000009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173781.56999999998</v>
      </c>
      <c r="G534" s="89">
        <f t="shared" ref="G534:L534" si="38">SUM(G531:G533)</f>
        <v>80079.070000000007</v>
      </c>
      <c r="H534" s="89">
        <f t="shared" si="38"/>
        <v>2349.34</v>
      </c>
      <c r="I534" s="89">
        <f t="shared" si="38"/>
        <v>255.84999999999997</v>
      </c>
      <c r="J534" s="89">
        <f t="shared" si="38"/>
        <v>0</v>
      </c>
      <c r="K534" s="89">
        <f t="shared" si="38"/>
        <v>1187</v>
      </c>
      <c r="L534" s="89">
        <f t="shared" si="38"/>
        <v>257652.83000000002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18999.88</v>
      </c>
      <c r="I541" s="18"/>
      <c r="J541" s="18"/>
      <c r="K541" s="18"/>
      <c r="L541" s="88">
        <f>SUM(F541:K541)</f>
        <v>18999.88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37999.75</v>
      </c>
      <c r="I542" s="18"/>
      <c r="J542" s="18"/>
      <c r="K542" s="18"/>
      <c r="L542" s="88">
        <f>SUM(F542:K542)</f>
        <v>37999.75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132999.12</v>
      </c>
      <c r="I543" s="18"/>
      <c r="J543" s="18"/>
      <c r="K543" s="18"/>
      <c r="L543" s="88">
        <f>SUM(F543:K543)</f>
        <v>132999.12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189998.75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189998.75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1383254.03</v>
      </c>
      <c r="G545" s="89">
        <f t="shared" ref="G545:L545" si="41">G524+G529+G534+G539+G544</f>
        <v>480746.48000000004</v>
      </c>
      <c r="H545" s="89">
        <f t="shared" si="41"/>
        <v>955293.33</v>
      </c>
      <c r="I545" s="89">
        <f t="shared" si="41"/>
        <v>12911.260000000002</v>
      </c>
      <c r="J545" s="89">
        <f t="shared" si="41"/>
        <v>725.87</v>
      </c>
      <c r="K545" s="89">
        <f t="shared" si="41"/>
        <v>1187</v>
      </c>
      <c r="L545" s="89">
        <f t="shared" si="41"/>
        <v>2834117.97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733172.95000000007</v>
      </c>
      <c r="G549" s="87">
        <f>L526</f>
        <v>234593.89</v>
      </c>
      <c r="H549" s="87">
        <f>L531</f>
        <v>133979.48000000001</v>
      </c>
      <c r="I549" s="87">
        <f>L536</f>
        <v>0</v>
      </c>
      <c r="J549" s="87">
        <f>L541</f>
        <v>18999.88</v>
      </c>
      <c r="K549" s="87">
        <f>SUM(F549:J549)</f>
        <v>1120746.2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411021.99</v>
      </c>
      <c r="G550" s="87">
        <f>L527</f>
        <v>94739.839999999982</v>
      </c>
      <c r="H550" s="87">
        <f>L532</f>
        <v>54107.09</v>
      </c>
      <c r="I550" s="87">
        <f>L537</f>
        <v>0</v>
      </c>
      <c r="J550" s="87">
        <f>L542</f>
        <v>37999.75</v>
      </c>
      <c r="K550" s="87">
        <f>SUM(F550:J550)</f>
        <v>597868.66999999993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765116.14</v>
      </c>
      <c r="G551" s="87">
        <f>L528</f>
        <v>147821.57999999999</v>
      </c>
      <c r="H551" s="87">
        <f>L533</f>
        <v>69566.260000000009</v>
      </c>
      <c r="I551" s="87">
        <f>L538</f>
        <v>0</v>
      </c>
      <c r="J551" s="87">
        <f>L543</f>
        <v>132999.12</v>
      </c>
      <c r="K551" s="87">
        <f>SUM(F551:J551)</f>
        <v>1115503.1000000001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1909311.08</v>
      </c>
      <c r="G552" s="89">
        <f t="shared" si="42"/>
        <v>477155.30999999994</v>
      </c>
      <c r="H552" s="89">
        <f t="shared" si="42"/>
        <v>257652.83000000002</v>
      </c>
      <c r="I552" s="89">
        <f t="shared" si="42"/>
        <v>0</v>
      </c>
      <c r="J552" s="89">
        <f t="shared" si="42"/>
        <v>189998.75</v>
      </c>
      <c r="K552" s="89">
        <f t="shared" si="42"/>
        <v>2834117.9699999997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9721.25</v>
      </c>
      <c r="G562" s="18">
        <v>743.75</v>
      </c>
      <c r="H562" s="18"/>
      <c r="I562" s="18"/>
      <c r="J562" s="18"/>
      <c r="K562" s="18"/>
      <c r="L562" s="88">
        <f>SUM(F562:K562)</f>
        <v>10465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9721.25</v>
      </c>
      <c r="G565" s="89">
        <f t="shared" si="44"/>
        <v>743.75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10465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9721.25</v>
      </c>
      <c r="G571" s="89">
        <f t="shared" ref="G571:L571" si="46">G560+G565+G570</f>
        <v>743.75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10465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7625</v>
      </c>
      <c r="I576" s="87">
        <f t="shared" ref="I576:I587" si="47">SUM(F576:H576)</f>
        <v>7625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56519.54</v>
      </c>
      <c r="G579" s="18"/>
      <c r="H579" s="18"/>
      <c r="I579" s="87">
        <f t="shared" si="47"/>
        <v>56519.54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55220.5</v>
      </c>
      <c r="G582" s="18">
        <v>110441</v>
      </c>
      <c r="H582" s="18">
        <v>386543.5</v>
      </c>
      <c r="I582" s="87">
        <f t="shared" si="47"/>
        <v>552205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91166</v>
      </c>
      <c r="I585" s="87">
        <f t="shared" si="47"/>
        <v>91166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104708.51</v>
      </c>
      <c r="I591" s="18">
        <v>42286.13</v>
      </c>
      <c r="J591" s="18">
        <v>54367.88</v>
      </c>
      <c r="K591" s="104">
        <f t="shared" ref="K591:K597" si="48">SUM(H591:J591)</f>
        <v>201362.52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18999.88</v>
      </c>
      <c r="I592" s="18">
        <v>37999.75</v>
      </c>
      <c r="J592" s="18">
        <v>132999.12</v>
      </c>
      <c r="K592" s="104">
        <f t="shared" si="48"/>
        <v>189998.75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41856.339999999997</v>
      </c>
      <c r="K594" s="104">
        <f t="shared" si="48"/>
        <v>41856.339999999997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3536.1</v>
      </c>
      <c r="I595" s="18">
        <v>1978.69</v>
      </c>
      <c r="J595" s="18">
        <v>2518.34</v>
      </c>
      <c r="K595" s="104">
        <f t="shared" si="48"/>
        <v>8033.13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17111.099999999999</v>
      </c>
      <c r="K597" s="104">
        <f t="shared" si="48"/>
        <v>17111.099999999999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127244.49</v>
      </c>
      <c r="I598" s="108">
        <f>SUM(I591:I597)</f>
        <v>82264.570000000007</v>
      </c>
      <c r="J598" s="108">
        <f>SUM(J591:J597)</f>
        <v>248852.78</v>
      </c>
      <c r="K598" s="108">
        <f>SUM(K591:K597)</f>
        <v>458361.83999999997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40861.919999999998</v>
      </c>
      <c r="I604" s="18">
        <v>20098.02</v>
      </c>
      <c r="J604" s="18">
        <v>25782.03</v>
      </c>
      <c r="K604" s="104">
        <f>SUM(H604:J604)</f>
        <v>86741.97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40861.919999999998</v>
      </c>
      <c r="I605" s="108">
        <f>SUM(I602:I604)</f>
        <v>20098.02</v>
      </c>
      <c r="J605" s="108">
        <f>SUM(J602:J604)</f>
        <v>25782.03</v>
      </c>
      <c r="K605" s="108">
        <f>SUM(K602:K604)</f>
        <v>86741.97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15161.89</v>
      </c>
      <c r="G611" s="18">
        <v>2545.23</v>
      </c>
      <c r="H611" s="18"/>
      <c r="I611" s="18"/>
      <c r="J611" s="18"/>
      <c r="K611" s="18"/>
      <c r="L611" s="88">
        <f>SUM(F611:K611)</f>
        <v>17707.12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14998.92</v>
      </c>
      <c r="G612" s="18">
        <v>2771.64</v>
      </c>
      <c r="H612" s="18"/>
      <c r="I612" s="18"/>
      <c r="J612" s="18"/>
      <c r="K612" s="18"/>
      <c r="L612" s="88">
        <f>SUM(F612:K612)</f>
        <v>17770.560000000001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30160.809999999998</v>
      </c>
      <c r="G614" s="108">
        <f t="shared" si="49"/>
        <v>5316.87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35477.68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1228094.54</v>
      </c>
      <c r="H617" s="109">
        <f>SUM(F52)</f>
        <v>1228094.54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47070.520000000004</v>
      </c>
      <c r="H618" s="109">
        <f>SUM(G52)</f>
        <v>47070.520000000004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105983.72</v>
      </c>
      <c r="H619" s="109">
        <f>SUM(H52)</f>
        <v>105983.72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1746000.51</v>
      </c>
      <c r="H620" s="109">
        <f>SUM(I52)</f>
        <v>1746000.51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398690.16000000003</v>
      </c>
      <c r="H621" s="109">
        <f>SUM(J52)</f>
        <v>398690.16000000003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268524.14999999997</v>
      </c>
      <c r="H622" s="109">
        <f>F476</f>
        <v>268524.15000000037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21434.61</v>
      </c>
      <c r="H623" s="109">
        <f>G476</f>
        <v>21434.609999999986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3541.61</v>
      </c>
      <c r="H624" s="109">
        <f>H476</f>
        <v>3541.6100000001024</v>
      </c>
      <c r="I624" s="121" t="s">
        <v>103</v>
      </c>
      <c r="J624" s="109">
        <f t="shared" si="50"/>
        <v>-1.0231815394945443E-10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1699255.29</v>
      </c>
      <c r="H625" s="109">
        <f>I476</f>
        <v>1699255.29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398690.16000000003</v>
      </c>
      <c r="H626" s="109">
        <f>J476</f>
        <v>398690.16000000003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11616003.17</v>
      </c>
      <c r="H627" s="104">
        <f>SUM(F468)</f>
        <v>11616003.17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305311.41000000003</v>
      </c>
      <c r="H628" s="104">
        <f>SUM(G468)</f>
        <v>305311.40999999997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603682.39</v>
      </c>
      <c r="H629" s="104">
        <f>SUM(H468)</f>
        <v>603682.39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3318530.98</v>
      </c>
      <c r="H630" s="104">
        <f>SUM(I468)</f>
        <v>3318530.98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21352.09</v>
      </c>
      <c r="H631" s="104">
        <f>SUM(J468)</f>
        <v>21352.09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11744357.989999998</v>
      </c>
      <c r="H632" s="104">
        <f>SUM(F472)</f>
        <v>11744357.99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612255.18999999994</v>
      </c>
      <c r="H633" s="104">
        <f>SUM(H472)</f>
        <v>612255.18999999994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293080.56</v>
      </c>
      <c r="H635" s="104">
        <f>SUM(G472)</f>
        <v>293080.56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1619275.6900000002</v>
      </c>
      <c r="H636" s="104">
        <f>SUM(I472)</f>
        <v>1619275.69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21352.09</v>
      </c>
      <c r="H637" s="164">
        <f>SUM(J468)</f>
        <v>21352.09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6450.44</v>
      </c>
      <c r="H638" s="164">
        <f>SUM(J472)</f>
        <v>6450.44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33259.14</v>
      </c>
      <c r="H639" s="104">
        <f>SUM(F461)</f>
        <v>33259.14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365431.02</v>
      </c>
      <c r="H640" s="104">
        <f>SUM(G461)</f>
        <v>365431.02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398690.16000000003</v>
      </c>
      <c r="H642" s="104">
        <f>SUM(I461)</f>
        <v>398690.16000000003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21352.09</v>
      </c>
      <c r="H644" s="104">
        <f>H408</f>
        <v>21352.09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21352.09</v>
      </c>
      <c r="H646" s="104">
        <f>L408</f>
        <v>21352.09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458361.83999999997</v>
      </c>
      <c r="H647" s="104">
        <f>L208+L226+L244</f>
        <v>458361.83999999997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86741.97</v>
      </c>
      <c r="H648" s="104">
        <f>(J257+J338)-(J255+J336)</f>
        <v>86741.97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127244.49</v>
      </c>
      <c r="H649" s="104">
        <f>H598</f>
        <v>127244.49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82264.570000000007</v>
      </c>
      <c r="H650" s="104">
        <f>I598</f>
        <v>82264.570000000007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248852.78</v>
      </c>
      <c r="H651" s="104">
        <f>J598</f>
        <v>248852.78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4954291.4799999995</v>
      </c>
      <c r="G660" s="19">
        <f>(L229+L309+L359)</f>
        <v>2657192.6599999992</v>
      </c>
      <c r="H660" s="19">
        <f>(L247+L328+L360)</f>
        <v>4134569.8599999994</v>
      </c>
      <c r="I660" s="19">
        <f>SUM(F660:H660)</f>
        <v>11746053.999999998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47403.173626751297</v>
      </c>
      <c r="G661" s="19">
        <f>(L359/IF(SUM(L358:L360)=0,1,SUM(L358:L360))*(SUM(G97:G110)))</f>
        <v>19143.590246497413</v>
      </c>
      <c r="H661" s="19">
        <f>(L360/IF(SUM(L358:L360)=0,1,SUM(L358:L360))*(SUM(G97:G110)))</f>
        <v>24613.18612675129</v>
      </c>
      <c r="I661" s="19">
        <f>SUM(F661:H661)</f>
        <v>91159.95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127244.49</v>
      </c>
      <c r="G662" s="19">
        <f>(L226+L306)-(J226+J306)</f>
        <v>82264.570000000007</v>
      </c>
      <c r="H662" s="19">
        <f>(L244+L325)-(J244+J325)</f>
        <v>248852.78</v>
      </c>
      <c r="I662" s="19">
        <f>SUM(F662:H662)</f>
        <v>458361.83999999997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170309.08000000002</v>
      </c>
      <c r="G663" s="199">
        <f>SUM(G575:G587)+SUM(I602:I604)+L612</f>
        <v>148309.58000000002</v>
      </c>
      <c r="H663" s="199">
        <f>SUM(H575:H587)+SUM(J602:J604)+L613</f>
        <v>511116.53</v>
      </c>
      <c r="I663" s="19">
        <f>SUM(F663:H663)</f>
        <v>829735.19000000006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4609334.7363732485</v>
      </c>
      <c r="G664" s="19">
        <f>G660-SUM(G661:G663)</f>
        <v>2407474.9197535017</v>
      </c>
      <c r="H664" s="19">
        <f>H660-SUM(H661:H663)</f>
        <v>3349987.363873248</v>
      </c>
      <c r="I664" s="19">
        <f>I660-SUM(I661:I663)</f>
        <v>10366797.019999998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279.48</v>
      </c>
      <c r="G665" s="248">
        <v>112.58</v>
      </c>
      <c r="H665" s="248">
        <v>145.43</v>
      </c>
      <c r="I665" s="19">
        <f>SUM(F665:H665)</f>
        <v>537.49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16492.54</v>
      </c>
      <c r="G667" s="19">
        <f>ROUND(G664/G665,2)</f>
        <v>21384.57</v>
      </c>
      <c r="H667" s="19">
        <f>ROUND(H664/H665,2)</f>
        <v>23035.05</v>
      </c>
      <c r="I667" s="19">
        <f>ROUND(I664/I665,2)</f>
        <v>19287.419999999998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-4.6100000000000003</v>
      </c>
      <c r="I670" s="19">
        <f>SUM(F670:H670)</f>
        <v>-4.6100000000000003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16492.54</v>
      </c>
      <c r="G672" s="19">
        <f>ROUND((G664+G669)/(G665+G670),2)</f>
        <v>21384.57</v>
      </c>
      <c r="H672" s="19">
        <f>ROUND((H664+H669)/(H665+H670),2)</f>
        <v>23789.14</v>
      </c>
      <c r="I672" s="19">
        <f>ROUND((I664+I669)/(I665+I670),2)</f>
        <v>19454.28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HINSDALE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2811684.6900000004</v>
      </c>
      <c r="C9" s="229">
        <f>'DOE25'!G197+'DOE25'!G215+'DOE25'!G233+'DOE25'!G276+'DOE25'!G295+'DOE25'!G314</f>
        <v>1270366.3299999998</v>
      </c>
    </row>
    <row r="10" spans="1:3" x14ac:dyDescent="0.2">
      <c r="A10" t="s">
        <v>773</v>
      </c>
      <c r="B10" s="240">
        <v>2715927.45</v>
      </c>
      <c r="C10" s="240">
        <v>1263040.8999999999</v>
      </c>
    </row>
    <row r="11" spans="1:3" x14ac:dyDescent="0.2">
      <c r="A11" t="s">
        <v>774</v>
      </c>
      <c r="B11" s="240">
        <v>95757.24</v>
      </c>
      <c r="C11" s="240">
        <v>7325.43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2811684.6900000004</v>
      </c>
      <c r="C13" s="231">
        <f>SUM(C10:C12)</f>
        <v>1270366.3299999998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1012296.04</v>
      </c>
      <c r="C18" s="229">
        <f>'DOE25'!G198+'DOE25'!G216+'DOE25'!G234+'DOE25'!G277+'DOE25'!G296+'DOE25'!G315</f>
        <v>289515.66000000003</v>
      </c>
    </row>
    <row r="19" spans="1:3" x14ac:dyDescent="0.2">
      <c r="A19" t="s">
        <v>773</v>
      </c>
      <c r="B19" s="240">
        <v>460209.55</v>
      </c>
      <c r="C19" s="240">
        <v>247281.04</v>
      </c>
    </row>
    <row r="20" spans="1:3" x14ac:dyDescent="0.2">
      <c r="A20" t="s">
        <v>774</v>
      </c>
      <c r="B20" s="240">
        <v>552086.49</v>
      </c>
      <c r="C20" s="240">
        <v>42234.62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1012296.04</v>
      </c>
      <c r="C22" s="231">
        <f>SUM(C19:C21)</f>
        <v>289515.66000000003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5270</v>
      </c>
      <c r="C27" s="234">
        <f>'DOE25'!G199+'DOE25'!G217+'DOE25'!G235+'DOE25'!G278+'DOE25'!G297+'DOE25'!G316</f>
        <v>403.16</v>
      </c>
    </row>
    <row r="28" spans="1:3" x14ac:dyDescent="0.2">
      <c r="A28" t="s">
        <v>773</v>
      </c>
      <c r="B28" s="240">
        <v>5270</v>
      </c>
      <c r="C28" s="240">
        <v>403.16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5270</v>
      </c>
      <c r="C31" s="231">
        <f>SUM(C28:C30)</f>
        <v>403.16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125446.95</v>
      </c>
      <c r="C36" s="235">
        <f>'DOE25'!G200+'DOE25'!G218+'DOE25'!G236+'DOE25'!G279+'DOE25'!G298+'DOE25'!G317</f>
        <v>22964.469999999998</v>
      </c>
    </row>
    <row r="37" spans="1:3" x14ac:dyDescent="0.2">
      <c r="A37" t="s">
        <v>773</v>
      </c>
      <c r="B37" s="240">
        <v>33795.519999999997</v>
      </c>
      <c r="C37" s="240">
        <v>13783.58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91651.43</v>
      </c>
      <c r="C39" s="240">
        <v>9180.89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125446.94999999998</v>
      </c>
      <c r="C40" s="231">
        <f>SUM(C37:C39)</f>
        <v>22964.47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HINSDALE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6129043.8700000001</v>
      </c>
      <c r="D5" s="20">
        <f>SUM('DOE25'!L197:L200)+SUM('DOE25'!L215:L218)+SUM('DOE25'!L233:L236)-F5-G5</f>
        <v>6122455.4300000006</v>
      </c>
      <c r="E5" s="243"/>
      <c r="F5" s="255">
        <f>SUM('DOE25'!J197:J200)+SUM('DOE25'!J215:J218)+SUM('DOE25'!J233:J236)</f>
        <v>4237.8500000000004</v>
      </c>
      <c r="G5" s="53">
        <f>SUM('DOE25'!K197:K200)+SUM('DOE25'!K215:K218)+SUM('DOE25'!K233:K236)</f>
        <v>2350.59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1111643.6499999999</v>
      </c>
      <c r="D6" s="20">
        <f>'DOE25'!L202+'DOE25'!L220+'DOE25'!L238-F6-G6</f>
        <v>1111543.6499999999</v>
      </c>
      <c r="E6" s="243"/>
      <c r="F6" s="255">
        <f>'DOE25'!J202+'DOE25'!J220+'DOE25'!J238</f>
        <v>0</v>
      </c>
      <c r="G6" s="53">
        <f>'DOE25'!K202+'DOE25'!K220+'DOE25'!K238</f>
        <v>100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193515.99</v>
      </c>
      <c r="D7" s="20">
        <f>'DOE25'!L203+'DOE25'!L221+'DOE25'!L239-F7-G7</f>
        <v>192818.84999999998</v>
      </c>
      <c r="E7" s="243"/>
      <c r="F7" s="255">
        <f>'DOE25'!J203+'DOE25'!J221+'DOE25'!J239</f>
        <v>0</v>
      </c>
      <c r="G7" s="53">
        <f>'DOE25'!K203+'DOE25'!K221+'DOE25'!K239</f>
        <v>697.14</v>
      </c>
      <c r="H7" s="259"/>
    </row>
    <row r="8" spans="1:9" x14ac:dyDescent="0.2">
      <c r="A8" s="32">
        <v>2300</v>
      </c>
      <c r="B8" t="s">
        <v>796</v>
      </c>
      <c r="C8" s="245">
        <f t="shared" si="0"/>
        <v>340616.79999999993</v>
      </c>
      <c r="D8" s="243"/>
      <c r="E8" s="20">
        <f>'DOE25'!L204+'DOE25'!L222+'DOE25'!L240-F8-G8-D9-D11</f>
        <v>329836.66999999993</v>
      </c>
      <c r="F8" s="255">
        <f>'DOE25'!J204+'DOE25'!J222+'DOE25'!J240</f>
        <v>0</v>
      </c>
      <c r="G8" s="53">
        <f>'DOE25'!K204+'DOE25'!K222+'DOE25'!K240</f>
        <v>10780.13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36748.769999999997</v>
      </c>
      <c r="D9" s="244">
        <v>36748.769999999997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18868.68</v>
      </c>
      <c r="D10" s="243"/>
      <c r="E10" s="244">
        <v>18868.68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190914.34</v>
      </c>
      <c r="D11" s="244">
        <v>190914.34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582801.22</v>
      </c>
      <c r="D12" s="20">
        <f>'DOE25'!L205+'DOE25'!L223+'DOE25'!L241-F12-G12</f>
        <v>578258.37</v>
      </c>
      <c r="E12" s="243"/>
      <c r="F12" s="255">
        <f>'DOE25'!J205+'DOE25'!J223+'DOE25'!J241</f>
        <v>0</v>
      </c>
      <c r="G12" s="53">
        <f>'DOE25'!K205+'DOE25'!K223+'DOE25'!K241</f>
        <v>4542.8500000000004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297105.58</v>
      </c>
      <c r="D13" s="243"/>
      <c r="E13" s="20">
        <f>'DOE25'!L206+'DOE25'!L224+'DOE25'!L242-F13-G13</f>
        <v>295321.31</v>
      </c>
      <c r="F13" s="255">
        <f>'DOE25'!J206+'DOE25'!J224+'DOE25'!J242</f>
        <v>0</v>
      </c>
      <c r="G13" s="53">
        <f>'DOE25'!K206+'DOE25'!K224+'DOE25'!K242</f>
        <v>1784.27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1068597.8500000001</v>
      </c>
      <c r="D14" s="20">
        <f>'DOE25'!L207+'DOE25'!L225+'DOE25'!L243-F14-G14</f>
        <v>1053360.78</v>
      </c>
      <c r="E14" s="243"/>
      <c r="F14" s="255">
        <f>'DOE25'!J207+'DOE25'!J225+'DOE25'!J243</f>
        <v>15237.07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458361.83999999997</v>
      </c>
      <c r="D15" s="20">
        <f>'DOE25'!L208+'DOE25'!L226+'DOE25'!L244-F15-G15</f>
        <v>458361.83999999997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459534.58</v>
      </c>
      <c r="D16" s="243"/>
      <c r="E16" s="20">
        <f>'DOE25'!L209+'DOE25'!L227+'DOE25'!L245-F16-G16</f>
        <v>400435.88</v>
      </c>
      <c r="F16" s="255">
        <f>'DOE25'!J209+'DOE25'!J227+'DOE25'!J245</f>
        <v>59098.700000000004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875473.5</v>
      </c>
      <c r="D25" s="243"/>
      <c r="E25" s="243"/>
      <c r="F25" s="258"/>
      <c r="G25" s="256"/>
      <c r="H25" s="257">
        <f>'DOE25'!L260+'DOE25'!L261+'DOE25'!L341+'DOE25'!L342</f>
        <v>875473.5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293080.56</v>
      </c>
      <c r="D29" s="20">
        <f>'DOE25'!L358+'DOE25'!L359+'DOE25'!L360-'DOE25'!I367-F29-G29</f>
        <v>293080.56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584088.94999999995</v>
      </c>
      <c r="D31" s="20">
        <f>'DOE25'!L290+'DOE25'!L309+'DOE25'!L328+'DOE25'!L333+'DOE25'!L334+'DOE25'!L335-F31-G31</f>
        <v>569066.09</v>
      </c>
      <c r="E31" s="243"/>
      <c r="F31" s="255">
        <f>'DOE25'!J290+'DOE25'!J309+'DOE25'!J328+'DOE25'!J333+'DOE25'!J334+'DOE25'!J335</f>
        <v>8168.35</v>
      </c>
      <c r="G31" s="53">
        <f>'DOE25'!K290+'DOE25'!K309+'DOE25'!K328+'DOE25'!K333+'DOE25'!K334+'DOE25'!K335</f>
        <v>6854.51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10606608.68</v>
      </c>
      <c r="E33" s="246">
        <f>SUM(E5:E31)</f>
        <v>1044462.5399999999</v>
      </c>
      <c r="F33" s="246">
        <f>SUM(F5:F31)</f>
        <v>86741.97</v>
      </c>
      <c r="G33" s="246">
        <f>SUM(G5:G31)</f>
        <v>27109.489999999998</v>
      </c>
      <c r="H33" s="246">
        <f>SUM(H5:H31)</f>
        <v>875473.5</v>
      </c>
    </row>
    <row r="35" spans="2:8" ht="12" thickBot="1" x14ac:dyDescent="0.25">
      <c r="B35" s="253" t="s">
        <v>841</v>
      </c>
      <c r="D35" s="254">
        <f>E33</f>
        <v>1044462.5399999999</v>
      </c>
      <c r="E35" s="249"/>
    </row>
    <row r="36" spans="2:8" ht="12" thickTop="1" x14ac:dyDescent="0.2">
      <c r="B36" t="s">
        <v>809</v>
      </c>
      <c r="D36" s="20">
        <f>D33</f>
        <v>10606608.68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1119068.26</v>
      </c>
      <c r="D8" s="95">
        <f>'DOE25'!G9</f>
        <v>0</v>
      </c>
      <c r="E8" s="95">
        <f>'DOE25'!H9</f>
        <v>0</v>
      </c>
      <c r="F8" s="95">
        <f>'DOE25'!I9</f>
        <v>1746000.51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82932.33</v>
      </c>
      <c r="D11" s="95">
        <f>'DOE25'!G12</f>
        <v>23318.97</v>
      </c>
      <c r="E11" s="95">
        <f>'DOE25'!H12</f>
        <v>3541.61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26093.95</v>
      </c>
      <c r="D12" s="95">
        <f>'DOE25'!G13</f>
        <v>16971.330000000002</v>
      </c>
      <c r="E12" s="95">
        <f>'DOE25'!H13</f>
        <v>102442.11</v>
      </c>
      <c r="F12" s="95">
        <f>'DOE25'!I13</f>
        <v>0</v>
      </c>
      <c r="G12" s="95">
        <f>'DOE25'!J13</f>
        <v>398690.16000000003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5978.08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802.14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1228094.54</v>
      </c>
      <c r="D18" s="41">
        <f>SUM(D8:D17)</f>
        <v>47070.520000000004</v>
      </c>
      <c r="E18" s="41">
        <f>SUM(E8:E17)</f>
        <v>105983.72</v>
      </c>
      <c r="F18" s="41">
        <f>SUM(F8:F17)</f>
        <v>1746000.51</v>
      </c>
      <c r="G18" s="41">
        <f>SUM(G8:G17)</f>
        <v>398690.16000000003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102442.11</v>
      </c>
      <c r="F21" s="95">
        <f>'DOE25'!I22</f>
        <v>7350.8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50980.08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130783.53</v>
      </c>
      <c r="D23" s="95">
        <f>'DOE25'!G24</f>
        <v>25635.91</v>
      </c>
      <c r="E23" s="95">
        <f>'DOE25'!H24</f>
        <v>0</v>
      </c>
      <c r="F23" s="95">
        <f>'DOE25'!I24</f>
        <v>39394.42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777806.78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959570.39</v>
      </c>
      <c r="D31" s="41">
        <f>SUM(D21:D30)</f>
        <v>25635.91</v>
      </c>
      <c r="E31" s="41">
        <f>SUM(E21:E30)</f>
        <v>102442.11</v>
      </c>
      <c r="F31" s="41">
        <f>SUM(F21:F30)</f>
        <v>46745.22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21434.61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200318.52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3383.19</v>
      </c>
      <c r="F47" s="95">
        <f>'DOE25'!I48</f>
        <v>1455886.26</v>
      </c>
      <c r="G47" s="95">
        <f>'DOE25'!J48</f>
        <v>398690.16000000003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1137.6600000000001</v>
      </c>
      <c r="D48" s="95">
        <f>'DOE25'!G49</f>
        <v>0</v>
      </c>
      <c r="E48" s="95">
        <f>'DOE25'!H49</f>
        <v>158.41999999999999</v>
      </c>
      <c r="F48" s="95">
        <f>'DOE25'!I49</f>
        <v>43050.51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267386.49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268524.14999999997</v>
      </c>
      <c r="D50" s="41">
        <f>SUM(D34:D49)</f>
        <v>21434.61</v>
      </c>
      <c r="E50" s="41">
        <f>SUM(E34:E49)</f>
        <v>3541.61</v>
      </c>
      <c r="F50" s="41">
        <f>SUM(F34:F49)</f>
        <v>1699255.29</v>
      </c>
      <c r="G50" s="41">
        <f>SUM(G34:G49)</f>
        <v>398690.16000000003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1228094.54</v>
      </c>
      <c r="D51" s="41">
        <f>D50+D31</f>
        <v>47070.520000000004</v>
      </c>
      <c r="E51" s="41">
        <f>E50+E31</f>
        <v>105983.72</v>
      </c>
      <c r="F51" s="41">
        <f>F50+F31</f>
        <v>1746000.51</v>
      </c>
      <c r="G51" s="41">
        <f>G50+G31</f>
        <v>398690.16000000003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6074156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32366.219999999998</v>
      </c>
      <c r="D57" s="24" t="s">
        <v>286</v>
      </c>
      <c r="E57" s="95">
        <f>'DOE25'!H79</f>
        <v>15065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12080.54</v>
      </c>
      <c r="G59" s="95">
        <f>'DOE25'!J96</f>
        <v>21352.09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91159.95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64768.83</v>
      </c>
      <c r="D61" s="95">
        <f>SUM('DOE25'!G98:G110)</f>
        <v>0</v>
      </c>
      <c r="E61" s="95">
        <f>SUM('DOE25'!H98:H110)</f>
        <v>6300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97135.05</v>
      </c>
      <c r="D62" s="130">
        <f>SUM(D57:D61)</f>
        <v>91159.95</v>
      </c>
      <c r="E62" s="130">
        <f>SUM(E57:E61)</f>
        <v>21365</v>
      </c>
      <c r="F62" s="130">
        <f>SUM(F57:F61)</f>
        <v>12080.54</v>
      </c>
      <c r="G62" s="130">
        <f>SUM(G57:G61)</f>
        <v>21352.09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6171291.0499999998</v>
      </c>
      <c r="D63" s="22">
        <f>D56+D62</f>
        <v>91159.95</v>
      </c>
      <c r="E63" s="22">
        <f>E56+E62</f>
        <v>21365</v>
      </c>
      <c r="F63" s="22">
        <f>F56+F62</f>
        <v>12080.54</v>
      </c>
      <c r="G63" s="22">
        <f>G56+G62</f>
        <v>21352.09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4240901.7699999996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482700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7664.47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4731266.2399999993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462802.59</v>
      </c>
      <c r="D72" s="24" t="s">
        <v>286</v>
      </c>
      <c r="E72" s="24" t="s">
        <v>286</v>
      </c>
      <c r="F72" s="95">
        <f>'DOE25'!I123</f>
        <v>1800000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44639.47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23426.720000000001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12758.01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530868.78</v>
      </c>
      <c r="D78" s="130">
        <f>SUM(D72:D77)</f>
        <v>12758.01</v>
      </c>
      <c r="E78" s="130">
        <f>SUM(E72:E77)</f>
        <v>0</v>
      </c>
      <c r="F78" s="130">
        <f>SUM(F72:F77)</f>
        <v>1800000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5262135.0199999996</v>
      </c>
      <c r="D81" s="130">
        <f>SUM(D79:D80)+D78+D70</f>
        <v>12758.01</v>
      </c>
      <c r="E81" s="130">
        <f>SUM(E79:E80)+E78+E70</f>
        <v>0</v>
      </c>
      <c r="F81" s="130">
        <f>SUM(F79:F80)+F78+F70</f>
        <v>1800000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24404.639999999999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154410.85999999999</v>
      </c>
      <c r="D88" s="95">
        <f>SUM('DOE25'!G153:G161)</f>
        <v>201393.45</v>
      </c>
      <c r="E88" s="95">
        <f>SUM('DOE25'!H153:H161)</f>
        <v>557912.75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154410.85999999999</v>
      </c>
      <c r="D91" s="131">
        <f>SUM(D85:D90)</f>
        <v>201393.45</v>
      </c>
      <c r="E91" s="131">
        <f>SUM(E85:E90)</f>
        <v>582317.39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1500000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28166.240000000002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6450.44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28166.240000000002</v>
      </c>
      <c r="D103" s="86">
        <f>SUM(D93:D102)</f>
        <v>0</v>
      </c>
      <c r="E103" s="86">
        <f>SUM(E93:E102)</f>
        <v>0</v>
      </c>
      <c r="F103" s="86">
        <f>SUM(F93:F102)</f>
        <v>1506450.44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11616003.17</v>
      </c>
      <c r="D104" s="86">
        <f>D63+D81+D91+D103</f>
        <v>305311.41000000003</v>
      </c>
      <c r="E104" s="86">
        <f>E63+E81+E91+E103</f>
        <v>603682.39</v>
      </c>
      <c r="F104" s="86">
        <f>F63+F81+F91+F103</f>
        <v>3318530.98</v>
      </c>
      <c r="G104" s="86">
        <f>G63+G81+G103</f>
        <v>21352.09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4014858.3000000003</v>
      </c>
      <c r="D109" s="24" t="s">
        <v>286</v>
      </c>
      <c r="E109" s="95">
        <f>('DOE25'!L276)+('DOE25'!L295)+('DOE25'!L314)</f>
        <v>271786.53999999998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1806931.7600000002</v>
      </c>
      <c r="D110" s="24" t="s">
        <v>286</v>
      </c>
      <c r="E110" s="95">
        <f>('DOE25'!L277)+('DOE25'!L296)+('DOE25'!L315)</f>
        <v>138857.54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97720.03</v>
      </c>
      <c r="D111" s="24" t="s">
        <v>286</v>
      </c>
      <c r="E111" s="95">
        <f>('DOE25'!L278)+('DOE25'!L297)+('DOE25'!L316)</f>
        <v>5961.03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209533.77999999997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6129043.870000001</v>
      </c>
      <c r="D115" s="86">
        <f>SUM(D109:D114)</f>
        <v>0</v>
      </c>
      <c r="E115" s="86">
        <f>SUM(E109:E114)</f>
        <v>416605.11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1111643.6499999999</v>
      </c>
      <c r="D118" s="24" t="s">
        <v>286</v>
      </c>
      <c r="E118" s="95">
        <f>+('DOE25'!L281)+('DOE25'!L300)+('DOE25'!L319)</f>
        <v>4500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193515.99</v>
      </c>
      <c r="D119" s="24" t="s">
        <v>286</v>
      </c>
      <c r="E119" s="95">
        <f>+('DOE25'!L282)+('DOE25'!L301)+('DOE25'!L320)</f>
        <v>126212.37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568279.90999999992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582801.22</v>
      </c>
      <c r="D121" s="24" t="s">
        <v>286</v>
      </c>
      <c r="E121" s="95">
        <f>+('DOE25'!L284)+('DOE25'!L303)+('DOE25'!L322)</f>
        <v>36771.47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297105.58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1068597.8500000001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458361.83999999997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459534.58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293080.56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4739840.62</v>
      </c>
      <c r="D128" s="86">
        <f>SUM(D118:D127)</f>
        <v>293080.56</v>
      </c>
      <c r="E128" s="86">
        <f>SUM(E118:E127)</f>
        <v>167483.84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1619275.6900000002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225473.5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28166.240000000002</v>
      </c>
      <c r="F134" s="95">
        <f>'DOE25'!K381</f>
        <v>0</v>
      </c>
      <c r="G134" s="95">
        <f>'DOE25'!K434</f>
        <v>6450.44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516.66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20835.43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-21352.09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875473.50000000012</v>
      </c>
      <c r="D144" s="141">
        <f>SUM(D130:D143)</f>
        <v>0</v>
      </c>
      <c r="E144" s="141">
        <f>SUM(E130:E143)</f>
        <v>28166.240000000002</v>
      </c>
      <c r="F144" s="141">
        <f>SUM(F130:F143)</f>
        <v>1619275.6900000002</v>
      </c>
      <c r="G144" s="141">
        <f>SUM(G130:G143)</f>
        <v>6450.44</v>
      </c>
    </row>
    <row r="145" spans="1:9" ht="12.75" thickTop="1" thickBot="1" x14ac:dyDescent="0.25">
      <c r="A145" s="33" t="s">
        <v>244</v>
      </c>
      <c r="C145" s="86">
        <f>(C115+C128+C144)</f>
        <v>11744357.990000002</v>
      </c>
      <c r="D145" s="86">
        <f>(D115+D128+D144)</f>
        <v>293080.56</v>
      </c>
      <c r="E145" s="86">
        <f>(E115+E128+E144)</f>
        <v>612255.18999999994</v>
      </c>
      <c r="F145" s="86">
        <f>(F115+F128+F144)</f>
        <v>1619275.6900000002</v>
      </c>
      <c r="G145" s="86">
        <f>(G115+G128+G144)</f>
        <v>6450.44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08/05</v>
      </c>
      <c r="C152" s="152" t="str">
        <f>'DOE25'!G491</f>
        <v>02/18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08/25</v>
      </c>
      <c r="C153" s="152" t="str">
        <f>'DOE25'!G492</f>
        <v>08/38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13032960</v>
      </c>
      <c r="C154" s="137">
        <f>'DOE25'!G493</f>
        <v>1385425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2.4247000000000001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5850000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5850000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1385425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1385425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5200000</v>
      </c>
      <c r="C159" s="137">
        <f>'DOE25'!G498</f>
        <v>1385425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6585425</v>
      </c>
    </row>
    <row r="160" spans="1:9" x14ac:dyDescent="0.2">
      <c r="A160" s="22" t="s">
        <v>36</v>
      </c>
      <c r="B160" s="137">
        <f>'DOE25'!F499</f>
        <v>625656.25</v>
      </c>
      <c r="C160" s="137">
        <f>'DOE25'!G499</f>
        <v>543317.99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1168974.24</v>
      </c>
    </row>
    <row r="161" spans="1:7" x14ac:dyDescent="0.2">
      <c r="A161" s="22" t="s">
        <v>37</v>
      </c>
      <c r="B161" s="137">
        <f>'DOE25'!F500</f>
        <v>5825656.25</v>
      </c>
      <c r="C161" s="137">
        <f>'DOE25'!G500</f>
        <v>1928742.99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7754399.2400000002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70425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720425</v>
      </c>
    </row>
    <row r="163" spans="1:7" x14ac:dyDescent="0.2">
      <c r="A163" s="22" t="s">
        <v>39</v>
      </c>
      <c r="B163" s="137">
        <f>'DOE25'!F502</f>
        <v>165137.5</v>
      </c>
      <c r="C163" s="137">
        <f>'DOE25'!G502</f>
        <v>443470.85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608608.35</v>
      </c>
    </row>
    <row r="164" spans="1:7" x14ac:dyDescent="0.2">
      <c r="A164" s="22" t="s">
        <v>246</v>
      </c>
      <c r="B164" s="137">
        <f>'DOE25'!F503</f>
        <v>815137.5</v>
      </c>
      <c r="C164" s="137">
        <f>'DOE25'!G503</f>
        <v>513895.85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1329033.3500000001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HINSDALE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16493</v>
      </c>
    </row>
    <row r="5" spans="1:4" x14ac:dyDescent="0.2">
      <c r="B5" t="s">
        <v>698</v>
      </c>
      <c r="C5" s="179">
        <f>IF('DOE25'!G665+'DOE25'!G670=0,0,ROUND('DOE25'!G672,0))</f>
        <v>21385</v>
      </c>
    </row>
    <row r="6" spans="1:4" x14ac:dyDescent="0.2">
      <c r="B6" t="s">
        <v>62</v>
      </c>
      <c r="C6" s="179">
        <f>IF('DOE25'!H665+'DOE25'!H670=0,0,ROUND('DOE25'!H672,0))</f>
        <v>23789</v>
      </c>
    </row>
    <row r="7" spans="1:4" x14ac:dyDescent="0.2">
      <c r="B7" t="s">
        <v>699</v>
      </c>
      <c r="C7" s="179">
        <f>IF('DOE25'!I665+'DOE25'!I670=0,0,ROUND('DOE25'!I672,0))</f>
        <v>19454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4286645</v>
      </c>
      <c r="D10" s="182">
        <f>ROUND((C10/$C$28)*100,1)</f>
        <v>36.1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1945789</v>
      </c>
      <c r="D11" s="182">
        <f>ROUND((C11/$C$28)*100,1)</f>
        <v>16.399999999999999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103681</v>
      </c>
      <c r="D12" s="182">
        <f>ROUND((C12/$C$28)*100,1)</f>
        <v>0.9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209534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1116144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319728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1027814</v>
      </c>
      <c r="D17" s="182">
        <f t="shared" si="0"/>
        <v>8.6999999999999993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619573</v>
      </c>
      <c r="D18" s="182">
        <f t="shared" si="0"/>
        <v>5.2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297106</v>
      </c>
      <c r="D19" s="182">
        <f t="shared" si="0"/>
        <v>2.5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1068598</v>
      </c>
      <c r="D20" s="182">
        <f t="shared" si="0"/>
        <v>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458362</v>
      </c>
      <c r="D21" s="182">
        <f t="shared" si="0"/>
        <v>3.9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225474</v>
      </c>
      <c r="D25" s="182">
        <f t="shared" si="0"/>
        <v>1.9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201921.05</v>
      </c>
      <c r="D27" s="182">
        <f t="shared" si="0"/>
        <v>1.7</v>
      </c>
    </row>
    <row r="28" spans="1:4" x14ac:dyDescent="0.2">
      <c r="B28" s="187" t="s">
        <v>717</v>
      </c>
      <c r="C28" s="180">
        <f>SUM(C10:C27)</f>
        <v>11880369.050000001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1619276</v>
      </c>
    </row>
    <row r="30" spans="1:4" x14ac:dyDescent="0.2">
      <c r="B30" s="187" t="s">
        <v>723</v>
      </c>
      <c r="C30" s="180">
        <f>SUM(C28:C29)</f>
        <v>13499645.050000001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6074156</v>
      </c>
      <c r="D35" s="182">
        <f t="shared" ref="D35:D40" si="1">ROUND((C35/$C$41)*100,1)</f>
        <v>42.3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266507.6799999997</v>
      </c>
      <c r="D36" s="182">
        <f t="shared" si="1"/>
        <v>1.9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4723602</v>
      </c>
      <c r="D37" s="182">
        <f t="shared" si="1"/>
        <v>32.9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2351291</v>
      </c>
      <c r="D38" s="182">
        <f t="shared" si="1"/>
        <v>16.399999999999999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938122</v>
      </c>
      <c r="D39" s="182">
        <f t="shared" si="1"/>
        <v>6.5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14353678.68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1385425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7" sqref="A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HINSDALE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22</v>
      </c>
      <c r="B4" s="219">
        <v>15</v>
      </c>
      <c r="C4" s="286" t="s">
        <v>917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22</v>
      </c>
      <c r="B5" s="219">
        <v>24</v>
      </c>
      <c r="C5" s="286" t="s">
        <v>918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23</v>
      </c>
      <c r="B6" s="219">
        <v>7</v>
      </c>
      <c r="C6" s="286" t="s">
        <v>919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2018-08-24T13:21:40Z</cp:lastPrinted>
  <dcterms:created xsi:type="dcterms:W3CDTF">1997-12-04T19:04:30Z</dcterms:created>
  <dcterms:modified xsi:type="dcterms:W3CDTF">2018-12-03T19:02:23Z</dcterms:modified>
</cp:coreProperties>
</file>