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1580" yWindow="-15" windowWidth="1164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D12" i="13" s="1"/>
  <c r="C12" i="13" s="1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H25" i="13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C118" i="2"/>
  <c r="E118" i="2"/>
  <c r="E119" i="2"/>
  <c r="C120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640" i="1" s="1"/>
  <c r="J640" i="1" s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L256" i="1"/>
  <c r="K257" i="1"/>
  <c r="K271" i="1" s="1"/>
  <c r="G164" i="2"/>
  <c r="C18" i="2"/>
  <c r="C26" i="10"/>
  <c r="L328" i="1"/>
  <c r="H660" i="1" s="1"/>
  <c r="H664" i="1" s="1"/>
  <c r="L351" i="1"/>
  <c r="I662" i="1"/>
  <c r="A31" i="12"/>
  <c r="A40" i="12"/>
  <c r="D62" i="2"/>
  <c r="D63" i="2" s="1"/>
  <c r="D18" i="13"/>
  <c r="C18" i="13" s="1"/>
  <c r="D15" i="13"/>
  <c r="C15" i="13" s="1"/>
  <c r="D17" i="13"/>
  <c r="C17" i="13" s="1"/>
  <c r="D6" i="13"/>
  <c r="C6" i="13" s="1"/>
  <c r="F78" i="2"/>
  <c r="F81" i="2" s="1"/>
  <c r="D31" i="2"/>
  <c r="D50" i="2"/>
  <c r="G157" i="2"/>
  <c r="F18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571" i="1"/>
  <c r="K571" i="1"/>
  <c r="L433" i="1"/>
  <c r="D81" i="2"/>
  <c r="I169" i="1"/>
  <c r="H169" i="1"/>
  <c r="J643" i="1"/>
  <c r="H476" i="1"/>
  <c r="H624" i="1" s="1"/>
  <c r="I476" i="1"/>
  <c r="H625" i="1" s="1"/>
  <c r="J625" i="1" s="1"/>
  <c r="F169" i="1"/>
  <c r="J140" i="1"/>
  <c r="F571" i="1"/>
  <c r="I552" i="1"/>
  <c r="K550" i="1"/>
  <c r="G22" i="2"/>
  <c r="K545" i="1"/>
  <c r="J552" i="1"/>
  <c r="H552" i="1"/>
  <c r="C29" i="10"/>
  <c r="I661" i="1"/>
  <c r="H140" i="1"/>
  <c r="L393" i="1"/>
  <c r="C138" i="2" s="1"/>
  <c r="F22" i="13"/>
  <c r="J651" i="1"/>
  <c r="J634" i="1"/>
  <c r="H571" i="1"/>
  <c r="L560" i="1"/>
  <c r="J545" i="1"/>
  <c r="F338" i="1"/>
  <c r="F352" i="1" s="1"/>
  <c r="G192" i="1"/>
  <c r="H192" i="1"/>
  <c r="F552" i="1"/>
  <c r="C35" i="10"/>
  <c r="L309" i="1"/>
  <c r="E16" i="13"/>
  <c r="J655" i="1"/>
  <c r="J645" i="1"/>
  <c r="L570" i="1"/>
  <c r="I571" i="1"/>
  <c r="I545" i="1"/>
  <c r="J636" i="1"/>
  <c r="G36" i="2"/>
  <c r="L565" i="1"/>
  <c r="H545" i="1"/>
  <c r="K551" i="1"/>
  <c r="C22" i="13"/>
  <c r="C16" i="13"/>
  <c r="J639" i="1" l="1"/>
  <c r="K598" i="1"/>
  <c r="G647" i="1" s="1"/>
  <c r="J647" i="1" s="1"/>
  <c r="J649" i="1"/>
  <c r="L545" i="1"/>
  <c r="K549" i="1"/>
  <c r="K552" i="1"/>
  <c r="J476" i="1"/>
  <c r="H626" i="1" s="1"/>
  <c r="G476" i="1"/>
  <c r="H623" i="1" s="1"/>
  <c r="L401" i="1"/>
  <c r="C139" i="2" s="1"/>
  <c r="H408" i="1"/>
  <c r="H644" i="1" s="1"/>
  <c r="J644" i="1" s="1"/>
  <c r="L362" i="1"/>
  <c r="G635" i="1" s="1"/>
  <c r="J635" i="1" s="1"/>
  <c r="D145" i="2"/>
  <c r="E128" i="2"/>
  <c r="L290" i="1"/>
  <c r="E112" i="2"/>
  <c r="E115" i="2" s="1"/>
  <c r="C25" i="13"/>
  <c r="H33" i="13"/>
  <c r="C131" i="2"/>
  <c r="C32" i="10"/>
  <c r="C91" i="2"/>
  <c r="C78" i="2"/>
  <c r="C81" i="2"/>
  <c r="C62" i="2"/>
  <c r="C63" i="2" s="1"/>
  <c r="D14" i="13"/>
  <c r="C14" i="13" s="1"/>
  <c r="C20" i="10"/>
  <c r="C121" i="2"/>
  <c r="C128" i="2" s="1"/>
  <c r="E8" i="13"/>
  <c r="C8" i="13" s="1"/>
  <c r="C16" i="10"/>
  <c r="D7" i="13"/>
  <c r="C7" i="13" s="1"/>
  <c r="D5" i="13"/>
  <c r="C5" i="13" s="1"/>
  <c r="C109" i="2"/>
  <c r="C115" i="2" s="1"/>
  <c r="L211" i="1"/>
  <c r="J624" i="1"/>
  <c r="J623" i="1"/>
  <c r="D18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L408" i="1" l="1"/>
  <c r="G637" i="1" s="1"/>
  <c r="J637" i="1" s="1"/>
  <c r="C141" i="2"/>
  <c r="H646" i="1"/>
  <c r="J646" i="1" s="1"/>
  <c r="G672" i="1"/>
  <c r="C5" i="10" s="1"/>
  <c r="D31" i="13"/>
  <c r="C31" i="13" s="1"/>
  <c r="F660" i="1"/>
  <c r="F664" i="1" s="1"/>
  <c r="F667" i="1" s="1"/>
  <c r="C144" i="2"/>
  <c r="C145" i="2" s="1"/>
  <c r="G104" i="2"/>
  <c r="C104" i="2"/>
  <c r="E33" i="13"/>
  <c r="D35" i="13" s="1"/>
  <c r="C28" i="10"/>
  <c r="D19" i="10" s="1"/>
  <c r="L257" i="1"/>
  <c r="L271" i="1" s="1"/>
  <c r="G632" i="1" s="1"/>
  <c r="J632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I660" i="1"/>
  <c r="I664" i="1" s="1"/>
  <c r="I672" i="1" s="1"/>
  <c r="C7" i="10" s="1"/>
  <c r="D11" i="10"/>
  <c r="D13" i="10"/>
  <c r="D22" i="10"/>
  <c r="D21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<sst xmlns="http://schemas.openxmlformats.org/spreadsheetml/2006/main" count="3959" uniqueCount="915">
  <si>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</si>
  <si>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</si>
  <si>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</si>
  <si>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</si>
  <si>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</si>
  <si>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</si>
  <si>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</si>
  <si>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</si>
  <si>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</si>
  <si>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</si>
  <si>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</si>
  <si>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</si>
  <si>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</si>
  <si>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</si>
  <si>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</si>
  <si>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</si>
  <si>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</si>
  <si>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</si>
  <si>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</si>
  <si>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</si>
  <si>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</si>
  <si>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</si>
  <si>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</si>
  <si>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</si>
  <si>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</si>
  <si>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</si>
  <si>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</si>
  <si>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</si>
  <si>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</si>
  <si>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</si>
  <si>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</si>
  <si>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</si>
  <si>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</si>
  <si>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</si>
  <si>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</si>
  <si>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</si>
  <si>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</si>
  <si>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</si>
  <si>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</si>
  <si>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</si>
  <si>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</si>
  <si>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</si>
  <si>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</si>
  <si>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</si>
  <si>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</si>
  <si>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</si>
  <si>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</si>
  <si>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</si>
  <si>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</si>
  <si>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</si>
  <si>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</si>
  <si>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</si>
  <si>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</si>
  <si>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</si>
  <si>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</si>
  <si>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</si>
  <si>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</si>
  <si>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</si>
  <si>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</si>
  <si>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</si>
  <si>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</si>
  <si>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</si>
  <si>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</si>
  <si>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</si>
  <si>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</si>
  <si>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</si>
  <si>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</si>
  <si>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</si>
  <si>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</si>
  <si>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</si>
  <si>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</si>
  <si>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</si>
  <si>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</si>
  <si>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</si>
  <si>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</si>
  <si>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</si>
  <si>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</si>
  <si>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</si>
  <si>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</si>
  <si>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</si>
  <si>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</si>
  <si>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</si>
  <si>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</si>
  <si>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</si>
  <si>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</si>
  <si>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</si>
  <si>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</si>
  <si>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</si>
  <si>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</si>
  <si>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</si>
  <si>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</si>
  <si>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</si>
  <si>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</si>
  <si>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</si>
  <si>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</si>
  <si>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</si>
  <si>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</si>
  <si>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</si>
  <si>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</si>
  <si>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</si>
  <si>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</si>
  <si>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</si>
  <si>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</si>
  <si>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</si>
  <si>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</si>
  <si>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</si>
  <si>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</si>
  <si>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</si>
  <si>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</si>
  <si>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</si>
  <si>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</si>
  <si>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</si>
  <si>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</si>
  <si>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</si>
  <si>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</si>
  <si>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</si>
  <si>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</si>
  <si>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</si>
  <si>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</si>
  <si>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</si>
  <si>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</si>
  <si>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</si>
  <si>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</si>
  <si>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</si>
  <si>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</si>
  <si>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</si>
  <si>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</si>
  <si>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</si>
  <si>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</si>
  <si>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</si>
  <si>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</si>
  <si>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</si>
  <si>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</si>
  <si>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</si>
  <si>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</si>
  <si>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</si>
  <si>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</si>
  <si>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</si>
  <si>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</si>
  <si>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</si>
  <si>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</si>
  <si>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</si>
  <si>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</si>
  <si>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</si>
  <si>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</si>
  <si>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</si>
  <si>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</si>
  <si>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</si>
  <si>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</si>
  <si>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</si>
  <si>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</si>
  <si>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</si>
  <si>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</si>
  <si>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</si>
  <si>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</si>
  <si>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</si>
  <si>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</si>
  <si>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</si>
  <si>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</si>
  <si>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</si>
  <si>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</si>
  <si>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</si>
  <si>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</si>
  <si>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</si>
  <si>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</si>
  <si>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</si>
  <si>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</si>
  <si>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</si>
  <si>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</si>
  <si>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</si>
  <si>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</si>
  <si>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</si>
  <si>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</si>
  <si>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</si>
  <si>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</si>
  <si>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</si>
  <si>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</si>
  <si>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</si>
  <si>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</si>
  <si>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</si>
  <si>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</si>
  <si>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</si>
  <si>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</si>
  <si>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</si>
  <si>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</si>
  <si>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</si>
  <si>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</si>
  <si>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</si>
  <si>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</si>
  <si>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</si>
  <si>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</si>
  <si>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</si>
  <si>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</si>
  <si>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</si>
  <si>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</si>
  <si>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</si>
  <si>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</si>
  <si>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</si>
  <si>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</si>
  <si>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</si>
  <si>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</si>
  <si>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</si>
  <si>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</si>
  <si>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</si>
  <si>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</si>
  <si>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</si>
  <si>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</si>
  <si>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</si>
  <si>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</si>
  <si>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</si>
  <si>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</si>
  <si>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</si>
  <si>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</si>
  <si>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</si>
  <si>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</si>
  <si>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</si>
  <si>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</si>
  <si>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</si>
  <si>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</si>
  <si>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</si>
  <si>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</si>
  <si>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</si>
  <si>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</si>
  <si>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</si>
  <si>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</si>
  <si>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</si>
  <si>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</si>
  <si>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</si>
  <si>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</si>
  <si>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</si>
  <si>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</si>
  <si>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</si>
  <si>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</si>
  <si>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</si>
  <si>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</si>
  <si>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</si>
  <si>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</si>
  <si>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</si>
  <si>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</si>
  <si>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</si>
  <si>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</si>
  <si>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</si>
  <si>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</si>
  <si>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</si>
  <si>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</si>
  <si>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</si>
  <si>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</si>
  <si>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</si>
  <si>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</si>
  <si>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</si>
  <si>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</si>
  <si>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</si>
  <si>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</si>
  <si>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</si>
  <si>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</si>
  <si>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</si>
  <si>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</si>
  <si>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</si>
  <si>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</si>
  <si>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</si>
  <si>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</si>
  <si>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</si>
  <si>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</si>
  <si>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</si>
  <si>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</si>
  <si>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</si>
  <si>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</si>
  <si>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</si>
  <si>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</si>
  <si>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</si>
  <si>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</si>
  <si>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</si>
  <si>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</si>
  <si>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</si>
  <si>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</si>
  <si>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</si>
  <si>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</si>
  <si>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</si>
  <si>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</si>
  <si>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</si>
  <si>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</si>
  <si>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</si>
  <si>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</si>
  <si>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</si>
  <si>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</si>
  <si>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</si>
  <si>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</si>
  <si>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</si>
  <si>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</si>
  <si>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</si>
  <si>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</si>
  <si>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</si>
  <si>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</si>
  <si>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</si>
  <si>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</si>
  <si>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</si>
  <si>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</si>
  <si>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</si>
  <si>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</si>
  <si>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</si>
  <si>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</si>
  <si>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</si>
  <si>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</si>
  <si>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</si>
  <si>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</si>
  <si>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</si>
  <si>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</si>
  <si>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</si>
  <si>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</si>
  <si>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</si>
  <si>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</si>
  <si>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</si>
  <si>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</si>
  <si>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</si>
  <si>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</si>
  <si>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</si>
  <si>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</si>
  <si>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</si>
  <si>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</si>
  <si>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</si>
  <si>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</si>
  <si>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</si>
  <si>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</si>
  <si>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</si>
  <si>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</si>
  <si>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</si>
  <si>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</si>
  <si>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</si>
  <si>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</si>
  <si>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</si>
  <si>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</si>
  <si>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</si>
  <si>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</si>
  <si>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</si>
  <si>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</si>
  <si>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</si>
  <si>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</si>
  <si>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</si>
  <si>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</si>
  <si>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</si>
  <si>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</si>
  <si>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</si>
  <si>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</si>
  <si>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</si>
  <si>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</si>
  <si>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</si>
  <si>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</si>
  <si>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</si>
  <si>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</si>
  <si>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</si>
  <si>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</si>
  <si>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</si>
  <si>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</si>
  <si>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</si>
  <si>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</si>
  <si>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</si>
  <si>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</si>
  <si>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</si>
  <si>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</si>
  <si>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</si>
  <si>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</si>
  <si>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</si>
  <si>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</si>
  <si>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</si>
  <si>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</si>
  <si>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</si>
  <si>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</si>
  <si>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</si>
  <si>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</si>
  <si>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</si>
  <si>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</si>
  <si>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</si>
  <si>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</si>
  <si>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</si>
  <si>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</si>
  <si>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</si>
  <si>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</si>
  <si>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</si>
  <si>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</si>
  <si>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</si>
  <si>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</si>
  <si>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</si>
  <si>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</si>
  <si>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</si>
  <si>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</si>
  <si>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</si>
  <si>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</si>
  <si>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</si>
  <si>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</si>
  <si>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</si>
  <si>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</si>
  <si>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</si>
  <si>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</si>
  <si>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</si>
  <si>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</si>
  <si>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</si>
  <si>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</si>
  <si>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</si>
  <si>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</si>
  <si>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</si>
  <si>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</si>
  <si>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</si>
  <si>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</si>
  <si>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</si>
  <si>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</si>
  <si>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</si>
  <si>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</si>
  <si>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</si>
  <si>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</si>
  <si>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</si>
  <si>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</si>
  <si>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</si>
  <si>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</si>
  <si>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</si>
  <si>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</si>
  <si>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</si>
  <si>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</si>
  <si>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</si>
  <si>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</si>
  <si>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</si>
  <si>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</si>
  <si>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</si>
  <si>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</si>
  <si>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</si>
  <si>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</si>
  <si>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</si>
  <si>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</si>
  <si>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</si>
  <si>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</si>
  <si>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</si>
  <si>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</si>
  <si>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</si>
  <si>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</si>
  <si>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</si>
  <si>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</si>
  <si>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</si>
  <si>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</si>
  <si>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</si>
  <si>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</si>
  <si>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</si>
  <si>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</si>
  <si>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</si>
  <si>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</si>
  <si>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</si>
  <si>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</si>
  <si>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</si>
  <si>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</si>
  <si>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</si>
  <si>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</si>
  <si>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</si>
  <si>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</si>
  <si>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</si>
  <si>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</si>
  <si>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</si>
  <si>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</si>
  <si>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</si>
  <si>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</si>
  <si>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</si>
  <si>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</si>
  <si>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</si>
  <si>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</si>
  <si>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</si>
  <si>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</si>
  <si>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</si>
  <si>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</si>
  <si>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</si>
  <si>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</si>
  <si>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</si>
  <si>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</si>
  <si>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</si>
  <si>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</si>
  <si>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</si>
  <si>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</si>
  <si>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</si>
  <si>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</si>
  <si>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</si>
  <si>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</si>
  <si>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</si>
  <si>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</si>
  <si>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</si>
  <si>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</si>
  <si>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</si>
  <si>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</si>
  <si>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</si>
  <si>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</si>
  <si>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</si>
  <si>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</si>
  <si>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</si>
  <si>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</si>
  <si>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</si>
  <si>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</si>
  <si>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</si>
  <si>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</si>
  <si>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</si>
  <si>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</si>
  <si>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</si>
  <si>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</si>
  <si>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</si>
  <si>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</si>
  <si>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</si>
  <si>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</si>
  <si>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</si>
  <si>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</si>
  <si>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</si>
  <si>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</si>
  <si>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</si>
  <si>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</si>
  <si>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</si>
  <si>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</si>
  <si>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</si>
  <si>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</si>
  <si>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</si>
  <si>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</si>
  <si>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</si>
  <si>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</si>
  <si>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</si>
  <si>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</si>
  <si>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</si>
  <si>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</si>
  <si>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</si>
  <si>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</si>
  <si>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</si>
  <si>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</si>
  <si>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</si>
  <si>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</si>
  <si>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</si>
  <si>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</si>
  <si>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</si>
  <si>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</si>
  <si>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</si>
  <si>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</si>
  <si>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</si>
  <si>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</si>
  <si>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</si>
  <si>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</si>
  <si>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</si>
  <si>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</si>
  <si>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</si>
  <si>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</si>
  <si>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</si>
  <si>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</si>
  <si>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</si>
  <si>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</si>
  <si>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</si>
  <si>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</si>
  <si>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</si>
  <si>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</si>
  <si>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</si>
  <si>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</si>
  <si>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</si>
  <si>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</si>
  <si>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</si>
  <si>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</si>
  <si>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</si>
  <si>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</si>
  <si>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</si>
  <si>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</si>
  <si>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</si>
  <si>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</si>
  <si>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</si>
  <si>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</si>
  <si>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</si>
  <si>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</si>
  <si>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</si>
  <si>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</si>
  <si>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</si>
  <si>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</si>
  <si>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</si>
  <si>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</si>
  <si>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</si>
  <si>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</si>
  <si>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</si>
  <si>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</si>
  <si>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</si>
  <si>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</si>
  <si>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</si>
  <si>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</si>
  <si>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</si>
  <si>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</si>
  <si>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</si>
  <si>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</si>
  <si>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</si>
  <si>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</si>
  <si>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</si>
  <si>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</si>
  <si>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</si>
  <si>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</si>
  <si>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</si>
  <si>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</si>
  <si>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</si>
  <si>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</si>
  <si>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</si>
  <si>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</si>
  <si>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</si>
  <si>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</si>
  <si>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</si>
  <si>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</si>
  <si>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</si>
  <si>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</si>
  <si>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</si>
  <si>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</si>
  <si>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</si>
  <si>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</si>
  <si>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</si>
  <si>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</si>
  <si>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</si>
  <si>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</si>
  <si>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</si>
  <si>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</si>
  <si>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</si>
  <si>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</si>
  <si>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</si>
  <si>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</si>
  <si>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</si>
  <si>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</si>
  <si>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</si>
  <si>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</si>
  <si>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</si>
  <si>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</si>
  <si>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</si>
  <si>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</si>
  <si>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</si>
  <si>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</si>
  <si>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</si>
  <si>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</si>
  <si>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</si>
  <si>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</si>
  <si>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</si>
  <si>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</si>
  <si>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</si>
  <si>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</si>
  <si>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</si>
  <si>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</si>
  <si>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</si>
  <si>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</si>
  <si>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</si>
  <si>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</si>
  <si>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</si>
  <si>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</si>
  <si>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</si>
  <si>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</si>
  <si>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</si>
  <si>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</si>
  <si>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</si>
  <si>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</si>
  <si>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</si>
  <si>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</si>
  <si>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</si>
  <si>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</si>
  <si>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</si>
  <si>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</si>
  <si>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</si>
  <si>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</si>
  <si>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</si>
  <si>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</si>
  <si>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</si>
  <si>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</si>
  <si>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</si>
  <si>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</si>
  <si>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</si>
  <si>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</si>
  <si>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</si>
  <si>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</si>
  <si>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</si>
  <si>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</si>
  <si>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</si>
  <si>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</si>
  <si>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</si>
  <si>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</si>
  <si>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</si>
  <si>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</si>
  <si>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</si>
  <si>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</si>
  <si>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</si>
  <si>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</si>
  <si>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</si>
  <si>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</si>
  <si>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</si>
  <si>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</si>
  <si>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</si>
  <si>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</si>
  <si>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</si>
  <si>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</si>
  <si>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</si>
  <si>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</si>
  <si>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</si>
  <si>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</si>
  <si>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</si>
  <si>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</si>
  <si>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</si>
  <si>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</si>
  <si>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</si>
  <si>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</si>
  <si>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</si>
  <si>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</si>
  <si>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</si>
  <si>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</si>
  <si>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</si>
  <si>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</si>
  <si>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</si>
  <si>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</si>
  <si>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</si>
  <si>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</si>
  <si>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</si>
  <si>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</si>
  <si>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</si>
  <si>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</si>
  <si>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</si>
  <si>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</si>
  <si>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</si>
  <si>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</si>
  <si>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</si>
  <si>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</si>
  <si>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</si>
  <si>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</si>
  <si>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</si>
  <si>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</si>
  <si>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</si>
  <si>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</si>
  <si>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</si>
  <si>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</si>
  <si>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</si>
  <si>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</si>
  <si>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</si>
  <si>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</si>
  <si>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</si>
  <si>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</si>
  <si>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</si>
  <si>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</si>
  <si>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</si>
  <si>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</si>
  <si>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</si>
  <si>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</si>
  <si>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</si>
  <si>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</si>
  <si>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</si>
  <si>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</si>
  <si>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</si>
  <si>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</si>
  <si>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</si>
  <si>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</si>
  <si>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</si>
  <si>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</si>
  <si>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</si>
  <si>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</si>
  <si>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</si>
  <si>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</si>
  <si>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</si>
  <si>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</si>
  <si>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</si>
  <si>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</si>
  <si>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</si>
  <si>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</si>
  <si>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</si>
  <si>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</si>
  <si>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</si>
  <si>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</si>
  <si>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</si>
  <si>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</si>
  <si>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</si>
  <si>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</si>
  <si>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</si>
  <si>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</si>
  <si>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</si>
  <si>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</si>
  <si>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</si>
  <si>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</si>
  <si>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</si>
  <si>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</si>
  <si>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</si>
  <si>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</si>
  <si>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</si>
  <si>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</si>
  <si>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</si>
  <si>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</si>
  <si>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</si>
  <si>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</si>
  <si>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</si>
  <si>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</si>
  <si>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</si>
  <si>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</si>
  <si>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</si>
  <si>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</si>
  <si>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</si>
  <si>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</si>
  <si>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</si>
  <si>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</si>
  <si>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</si>
  <si>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</si>
  <si>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</si>
  <si>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</si>
  <si>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</si>
  <si>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</si>
  <si>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</si>
  <si>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</si>
  <si>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</si>
  <si>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</si>
  <si>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</si>
  <si>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</si>
  <si>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</si>
  <si>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</si>
  <si>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</si>
  <si>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</si>
  <si>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</si>
  <si>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</si>
  <si>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</si>
  <si>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</si>
  <si>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</si>
  <si>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</si>
  <si>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</si>
  <si>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</si>
  <si>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</si>
  <si>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</si>
  <si>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</si>
  <si>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</si>
  <si>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</si>
  <si>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</si>
  <si>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</si>
  <si>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</si>
  <si>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</si>
  <si>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</si>
  <si>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</si>
  <si>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</si>
  <si>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</si>
  <si>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</si>
  <si>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</si>
  <si>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</si>
  <si>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</si>
  <si>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</si>
  <si>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</si>
  <si>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</si>
  <si>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</si>
  <si>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</si>
  <si>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</si>
  <si>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</si>
  <si>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</si>
  <si>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</si>
  <si>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</si>
  <si>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</si>
  <si>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</si>
  <si>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</si>
  <si>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</si>
  <si>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</si>
  <si>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</si>
  <si>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</si>
  <si>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</si>
  <si>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</si>
  <si>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</si>
  <si>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</si>
  <si>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</si>
  <si>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</si>
  <si>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</si>
  <si>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</si>
  <si>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</si>
  <si>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</si>
  <si>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</si>
  <si>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</si>
  <si>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</si>
  <si>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</si>
  <si>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</si>
  <si>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</si>
  <si>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</si>
  <si>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</si>
  <si>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</si>
  <si>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</si>
  <si>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</si>
  <si>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</si>
  <si>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</si>
  <si>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</si>
  <si>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</si>
  <si>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</si>
  <si>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</si>
  <si>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</si>
  <si>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</si>
  <si>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</si>
  <si>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</si>
  <si>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</si>
  <si>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</si>
  <si>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</si>
  <si>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</si>
  <si>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</si>
  <si>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</si>
  <si>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</si>
  <si>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</si>
  <si>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</si>
  <si>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</si>
  <si>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</si>
  <si>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</si>
  <si>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</si>
  <si>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</si>
  <si>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</si>
  <si>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</si>
  <si>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</si>
  <si>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</si>
  <si>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</si>
  <si>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</si>
  <si>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</si>
  <si>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</si>
  <si>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</si>
  <si>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</si>
  <si>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</si>
  <si>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</si>
  <si>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</si>
  <si>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</si>
  <si>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</si>
  <si>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</si>
  <si>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</si>
  <si>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</si>
  <si>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</si>
  <si>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</si>
  <si>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</si>
  <si>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</si>
  <si>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Holderness School District</t>
  </si>
  <si>
    <t>07/07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</si>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</sst>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257</v>
      </c>
      <c r="C2" s="21">
        <v>257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392070.12</v>
      </c>
      <c r="G9" s="18">
        <v>-7924.22</v>
      </c>
      <c r="H9" s="18">
        <v>-9743.2800000000007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188055.9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2435.2399999999998</v>
      </c>
      <c r="G13" s="18">
        <v>10643.67</v>
      </c>
      <c r="H13" s="18">
        <v>12600.27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3641.14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398146.5</v>
      </c>
      <c r="G19" s="41">
        <f>SUM(G9:G18)</f>
        <v>2719.45</v>
      </c>
      <c r="H19" s="41">
        <f>SUM(H9:H18)</f>
        <v>2856.99</v>
      </c>
      <c r="I19" s="41">
        <f>SUM(I9:I18)</f>
        <v>0</v>
      </c>
      <c r="J19" s="41">
        <f>SUM(J9:J18)</f>
        <v>188055.9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59040.4</v>
      </c>
      <c r="G24" s="18"/>
      <c r="H24" s="18">
        <v>2852.69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59040.4</v>
      </c>
      <c r="G32" s="41">
        <f>SUM(G22:G31)</f>
        <v>0</v>
      </c>
      <c r="H32" s="41">
        <f>SUM(H22:H31)</f>
        <v>2852.69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97341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2719.45</v>
      </c>
      <c r="H48" s="18">
        <v>4.3</v>
      </c>
      <c r="I48" s="18"/>
      <c r="J48" s="13">
        <f>SUM(I459)</f>
        <v>188055.9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55673.84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166091.26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339106.1</v>
      </c>
      <c r="G51" s="41">
        <f>SUM(G35:G50)</f>
        <v>2719.45</v>
      </c>
      <c r="H51" s="41">
        <f>SUM(H35:H50)</f>
        <v>4.3</v>
      </c>
      <c r="I51" s="41">
        <f>SUM(I35:I50)</f>
        <v>0</v>
      </c>
      <c r="J51" s="41">
        <f>SUM(J35:J50)</f>
        <v>188055.9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398146.5</v>
      </c>
      <c r="G52" s="41">
        <f>G51+G32</f>
        <v>2719.45</v>
      </c>
      <c r="H52" s="41">
        <f>H51+H32</f>
        <v>2856.9900000000002</v>
      </c>
      <c r="I52" s="41">
        <f>I51+I32</f>
        <v>0</v>
      </c>
      <c r="J52" s="41">
        <f>J51+J32</f>
        <v>188055.9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2862815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2862815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35480.300000000003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35480.300000000003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50.86</v>
      </c>
      <c r="G96" s="18"/>
      <c r="H96" s="18"/>
      <c r="I96" s="18"/>
      <c r="J96" s="18">
        <v>2836.04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23082.82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5709.08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19050.03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24809.969999999998</v>
      </c>
      <c r="G111" s="41">
        <f>SUM(G96:G110)</f>
        <v>23082.82</v>
      </c>
      <c r="H111" s="41">
        <f>SUM(H96:H110)</f>
        <v>0</v>
      </c>
      <c r="I111" s="41">
        <f>SUM(I96:I110)</f>
        <v>0</v>
      </c>
      <c r="J111" s="41">
        <f>SUM(J96:J110)</f>
        <v>2836.04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2923105.27</v>
      </c>
      <c r="G112" s="41">
        <f>G60+G111</f>
        <v>23082.82</v>
      </c>
      <c r="H112" s="41">
        <f>H60+H79+H94+H111</f>
        <v>0</v>
      </c>
      <c r="I112" s="41">
        <f>I60+I111</f>
        <v>0</v>
      </c>
      <c r="J112" s="41">
        <f>J60+J111</f>
        <v>2836.04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1030835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1030835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75159.06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7769.48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758.94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82928.539999999994</v>
      </c>
      <c r="G136" s="41">
        <f>SUM(G123:G135)</f>
        <v>758.94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1113763.54</v>
      </c>
      <c r="G140" s="41">
        <f>G121+SUM(G136:G137)</f>
        <v>758.94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39526.050000000003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23579.01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16894.61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22618.87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22618.87</v>
      </c>
      <c r="G162" s="41">
        <f>SUM(G150:G161)</f>
        <v>16894.61</v>
      </c>
      <c r="H162" s="41">
        <f>SUM(H150:H161)</f>
        <v>63105.06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339.64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22958.51</v>
      </c>
      <c r="G169" s="41">
        <f>G147+G162+SUM(G163:G168)</f>
        <v>16894.61</v>
      </c>
      <c r="H169" s="41">
        <f>H147+H162+SUM(H163:H168)</f>
        <v>63105.06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25000</v>
      </c>
      <c r="H179" s="18"/>
      <c r="I179" s="18"/>
      <c r="J179" s="18">
        <v>95000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25000</v>
      </c>
      <c r="H183" s="41">
        <f>SUM(H179:H182)</f>
        <v>0</v>
      </c>
      <c r="I183" s="41">
        <f>SUM(I179:I182)</f>
        <v>0</v>
      </c>
      <c r="J183" s="41">
        <f>SUM(J179:J182)</f>
        <v>95000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132145.56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132145.56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132145.56</v>
      </c>
      <c r="G192" s="41">
        <f>G183+SUM(G188:G191)</f>
        <v>25000</v>
      </c>
      <c r="H192" s="41">
        <f>+H183+SUM(H188:H191)</f>
        <v>0</v>
      </c>
      <c r="I192" s="41">
        <f>I177+I183+SUM(I188:I191)</f>
        <v>0</v>
      </c>
      <c r="J192" s="41">
        <f>J183</f>
        <v>95000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4191972.88</v>
      </c>
      <c r="G193" s="47">
        <f>G112+G140+G169+G192</f>
        <v>65736.37</v>
      </c>
      <c r="H193" s="47">
        <f>H112+H140+H169+H192</f>
        <v>63105.06</v>
      </c>
      <c r="I193" s="47">
        <f>I112+I140+I169+I192</f>
        <v>0</v>
      </c>
      <c r="J193" s="47">
        <f>J112+J140+J192</f>
        <v>97836.04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1155560.17</v>
      </c>
      <c r="G197" s="18">
        <v>495194.75</v>
      </c>
      <c r="H197" s="18">
        <v>22691.18</v>
      </c>
      <c r="I197" s="18">
        <v>43545.61</v>
      </c>
      <c r="J197" s="18">
        <v>56434.61</v>
      </c>
      <c r="K197" s="18">
        <v>425</v>
      </c>
      <c r="L197" s="19">
        <f>SUM(F197:K197)</f>
        <v>1773851.32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233792.49</v>
      </c>
      <c r="G198" s="18">
        <v>98097.59</v>
      </c>
      <c r="H198" s="18">
        <v>195407.43</v>
      </c>
      <c r="I198" s="18">
        <v>662.91</v>
      </c>
      <c r="J198" s="18"/>
      <c r="K198" s="18"/>
      <c r="L198" s="19">
        <f>SUM(F198:K198)</f>
        <v>527960.42000000004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39075.61</v>
      </c>
      <c r="G200" s="18">
        <v>7250.68</v>
      </c>
      <c r="H200" s="18">
        <v>5902</v>
      </c>
      <c r="I200" s="18">
        <v>2223.84</v>
      </c>
      <c r="J200" s="18"/>
      <c r="K200" s="18"/>
      <c r="L200" s="19">
        <f>SUM(F200:K200)</f>
        <v>54452.130000000005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92396.76</v>
      </c>
      <c r="G202" s="18">
        <v>32461.13</v>
      </c>
      <c r="H202" s="18">
        <v>151172.79999999999</v>
      </c>
      <c r="I202" s="18">
        <v>3002.04</v>
      </c>
      <c r="J202" s="18"/>
      <c r="K202" s="18">
        <v>2615.77</v>
      </c>
      <c r="L202" s="19">
        <f t="shared" ref="L202:L208" si="0">SUM(F202:K202)</f>
        <v>281648.5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74266</v>
      </c>
      <c r="G203" s="18">
        <v>60269.51</v>
      </c>
      <c r="H203" s="18"/>
      <c r="I203" s="18">
        <v>6466.75</v>
      </c>
      <c r="J203" s="18"/>
      <c r="K203" s="18"/>
      <c r="L203" s="19">
        <f t="shared" si="0"/>
        <v>141002.26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6600</v>
      </c>
      <c r="G204" s="18">
        <v>711.98</v>
      </c>
      <c r="H204" s="18">
        <v>230811.9</v>
      </c>
      <c r="I204" s="18">
        <v>522.98</v>
      </c>
      <c r="J204" s="18"/>
      <c r="K204" s="18">
        <v>2846.13</v>
      </c>
      <c r="L204" s="19">
        <f t="shared" si="0"/>
        <v>241492.99000000002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145511.39000000001</v>
      </c>
      <c r="G205" s="18">
        <v>62723.96</v>
      </c>
      <c r="H205" s="18">
        <v>6885.76</v>
      </c>
      <c r="I205" s="18">
        <v>13594.73</v>
      </c>
      <c r="J205" s="18"/>
      <c r="K205" s="18">
        <v>384.46</v>
      </c>
      <c r="L205" s="19">
        <f t="shared" si="0"/>
        <v>229100.30000000002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105902.93</v>
      </c>
      <c r="G207" s="18">
        <v>51310.94</v>
      </c>
      <c r="H207" s="18">
        <v>77013.399999999994</v>
      </c>
      <c r="I207" s="18">
        <v>92208.38</v>
      </c>
      <c r="J207" s="18">
        <v>7905</v>
      </c>
      <c r="K207" s="18"/>
      <c r="L207" s="19">
        <f t="shared" si="0"/>
        <v>334340.65000000002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181646.24</v>
      </c>
      <c r="I208" s="18"/>
      <c r="J208" s="18"/>
      <c r="K208" s="18"/>
      <c r="L208" s="19">
        <f t="shared" si="0"/>
        <v>181646.24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1853105.3499999999</v>
      </c>
      <c r="G211" s="41">
        <f t="shared" si="1"/>
        <v>808020.54</v>
      </c>
      <c r="H211" s="41">
        <f t="shared" si="1"/>
        <v>871530.71</v>
      </c>
      <c r="I211" s="41">
        <f t="shared" si="1"/>
        <v>162227.24</v>
      </c>
      <c r="J211" s="41">
        <f t="shared" si="1"/>
        <v>64339.61</v>
      </c>
      <c r="K211" s="41">
        <f t="shared" si="1"/>
        <v>6271.36</v>
      </c>
      <c r="L211" s="41">
        <f t="shared" si="1"/>
        <v>3765494.8099999996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180730.49</v>
      </c>
      <c r="I255" s="18"/>
      <c r="J255" s="18"/>
      <c r="K255" s="18"/>
      <c r="L255" s="19">
        <f t="shared" si="6"/>
        <v>180730.49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180730.49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180730.49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1853105.3499999999</v>
      </c>
      <c r="G257" s="41">
        <f t="shared" si="8"/>
        <v>808020.54</v>
      </c>
      <c r="H257" s="41">
        <f t="shared" si="8"/>
        <v>1052261.2</v>
      </c>
      <c r="I257" s="41">
        <f t="shared" si="8"/>
        <v>162227.24</v>
      </c>
      <c r="J257" s="41">
        <f t="shared" si="8"/>
        <v>64339.61</v>
      </c>
      <c r="K257" s="41">
        <f t="shared" si="8"/>
        <v>6271.36</v>
      </c>
      <c r="L257" s="41">
        <f t="shared" si="8"/>
        <v>3946225.3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237107.9</v>
      </c>
      <c r="L260" s="19">
        <f>SUM(F260:K260)</f>
        <v>237107.9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4597.92</v>
      </c>
      <c r="L261" s="19">
        <f>SUM(F261:K261)</f>
        <v>4597.92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25000</v>
      </c>
      <c r="L263" s="19">
        <f>SUM(F263:K263)</f>
        <v>25000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95000</v>
      </c>
      <c r="L266" s="19">
        <f t="shared" si="9"/>
        <v>95000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361705.82</v>
      </c>
      <c r="L270" s="41">
        <f t="shared" si="9"/>
        <v>361705.82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1853105.3499999999</v>
      </c>
      <c r="G271" s="42">
        <f t="shared" si="11"/>
        <v>808020.54</v>
      </c>
      <c r="H271" s="42">
        <f t="shared" si="11"/>
        <v>1052261.2</v>
      </c>
      <c r="I271" s="42">
        <f t="shared" si="11"/>
        <v>162227.24</v>
      </c>
      <c r="J271" s="42">
        <f t="shared" si="11"/>
        <v>64339.61</v>
      </c>
      <c r="K271" s="42">
        <f t="shared" si="11"/>
        <v>367977.18</v>
      </c>
      <c r="L271" s="42">
        <f t="shared" si="11"/>
        <v>4307931.12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13579</v>
      </c>
      <c r="G276" s="18">
        <v>5994.06</v>
      </c>
      <c r="H276" s="18"/>
      <c r="I276" s="18">
        <v>22278.03</v>
      </c>
      <c r="J276" s="18">
        <v>9608.14</v>
      </c>
      <c r="K276" s="18"/>
      <c r="L276" s="19">
        <f>SUM(F276:K276)</f>
        <v>51459.229999999996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4412.8500000000004</v>
      </c>
      <c r="J279" s="18"/>
      <c r="K279" s="18"/>
      <c r="L279" s="19">
        <f>SUM(F279:K279)</f>
        <v>4412.8500000000004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3249.7</v>
      </c>
      <c r="I282" s="18"/>
      <c r="J282" s="18"/>
      <c r="K282" s="18"/>
      <c r="L282" s="19">
        <f t="shared" si="12"/>
        <v>3249.7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1511.7</v>
      </c>
      <c r="G283" s="18"/>
      <c r="H283" s="18"/>
      <c r="I283" s="18">
        <v>600</v>
      </c>
      <c r="J283" s="18"/>
      <c r="K283" s="18">
        <v>159.63</v>
      </c>
      <c r="L283" s="19">
        <f t="shared" si="12"/>
        <v>2271.33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1271.98</v>
      </c>
      <c r="L285" s="19">
        <f t="shared" si="12"/>
        <v>1271.98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439.98</v>
      </c>
      <c r="I286" s="18"/>
      <c r="J286" s="18"/>
      <c r="K286" s="18"/>
      <c r="L286" s="19">
        <f t="shared" si="12"/>
        <v>439.98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15090.7</v>
      </c>
      <c r="G290" s="42">
        <f t="shared" si="13"/>
        <v>5994.06</v>
      </c>
      <c r="H290" s="42">
        <f t="shared" si="13"/>
        <v>3689.68</v>
      </c>
      <c r="I290" s="42">
        <f t="shared" si="13"/>
        <v>27290.879999999997</v>
      </c>
      <c r="J290" s="42">
        <f t="shared" si="13"/>
        <v>9608.14</v>
      </c>
      <c r="K290" s="42">
        <f t="shared" si="13"/>
        <v>1431.6100000000001</v>
      </c>
      <c r="L290" s="41">
        <f t="shared" si="13"/>
        <v>63105.07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15090.7</v>
      </c>
      <c r="G338" s="41">
        <f t="shared" si="20"/>
        <v>5994.06</v>
      </c>
      <c r="H338" s="41">
        <f t="shared" si="20"/>
        <v>3689.68</v>
      </c>
      <c r="I338" s="41">
        <f t="shared" si="20"/>
        <v>27290.879999999997</v>
      </c>
      <c r="J338" s="41">
        <f t="shared" si="20"/>
        <v>9608.14</v>
      </c>
      <c r="K338" s="41">
        <f t="shared" si="20"/>
        <v>1431.6100000000001</v>
      </c>
      <c r="L338" s="41">
        <f t="shared" si="20"/>
        <v>63105.07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15090.7</v>
      </c>
      <c r="G352" s="41">
        <f>G338</f>
        <v>5994.06</v>
      </c>
      <c r="H352" s="41">
        <f>H338</f>
        <v>3689.68</v>
      </c>
      <c r="I352" s="41">
        <f>I338</f>
        <v>27290.879999999997</v>
      </c>
      <c r="J352" s="41">
        <f>J338</f>
        <v>9608.14</v>
      </c>
      <c r="K352" s="47">
        <f>K338+K351</f>
        <v>1431.6100000000001</v>
      </c>
      <c r="L352" s="41">
        <f>L338+L351</f>
        <v>63105.07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65758.570000000007</v>
      </c>
      <c r="I358" s="18"/>
      <c r="J358" s="18"/>
      <c r="K358" s="18"/>
      <c r="L358" s="13">
        <f>SUM(F358:K358)</f>
        <v>65758.570000000007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65758.570000000007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65758.570000000007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</v>
      </c>
      <c r="H389" s="18">
        <v>1212.6600000000001</v>
      </c>
      <c r="I389" s="18"/>
      <c r="J389" s="24" t="s">
        <v>286</v>
      </c>
      <c r="K389" s="24" t="s">
        <v>286</v>
      </c>
      <c r="L389" s="56">
        <f t="shared" si="25"/>
        <v>51212.66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1212.6600000000001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51212.66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699.08</v>
      </c>
      <c r="I397" s="18"/>
      <c r="J397" s="24" t="s">
        <v>286</v>
      </c>
      <c r="K397" s="24" t="s">
        <v>286</v>
      </c>
      <c r="L397" s="56">
        <f t="shared" si="26"/>
        <v>699.08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45000</v>
      </c>
      <c r="H399" s="18">
        <v>924.3</v>
      </c>
      <c r="I399" s="18"/>
      <c r="J399" s="24" t="s">
        <v>286</v>
      </c>
      <c r="K399" s="24" t="s">
        <v>286</v>
      </c>
      <c r="L399" s="56">
        <f t="shared" si="26"/>
        <v>45924.3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1623.38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46623.380000000005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95000</v>
      </c>
      <c r="H408" s="47">
        <f>H393+H401+H407</f>
        <v>2836.04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97836.040000000008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85000</v>
      </c>
      <c r="L415" s="56">
        <f t="shared" si="27"/>
        <v>85000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>
        <v>47145.56</v>
      </c>
      <c r="L418" s="56">
        <f t="shared" si="27"/>
        <v>47145.56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132145.56</v>
      </c>
      <c r="L419" s="47">
        <f t="shared" si="28"/>
        <v>132145.56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132145.56</v>
      </c>
      <c r="L434" s="47">
        <f t="shared" si="32"/>
        <v>132145.56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67030.81</v>
      </c>
      <c r="G440" s="18">
        <v>121025.09</v>
      </c>
      <c r="H440" s="18"/>
      <c r="I440" s="56">
        <f t="shared" si="33"/>
        <v>188055.9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67030.81</v>
      </c>
      <c r="G446" s="13">
        <f>SUM(G439:G445)</f>
        <v>121025.09</v>
      </c>
      <c r="H446" s="13">
        <f>SUM(H439:H445)</f>
        <v>0</v>
      </c>
      <c r="I446" s="13">
        <f>SUM(I439:I445)</f>
        <v>188055.9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67030.81</v>
      </c>
      <c r="G459" s="18">
        <v>121025.09</v>
      </c>
      <c r="H459" s="18"/>
      <c r="I459" s="56">
        <f t="shared" si="34"/>
        <v>188055.9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67030.81</v>
      </c>
      <c r="G460" s="83">
        <f>SUM(G454:G459)</f>
        <v>121025.09</v>
      </c>
      <c r="H460" s="83">
        <f>SUM(H454:H459)</f>
        <v>0</v>
      </c>
      <c r="I460" s="83">
        <f>SUM(I454:I459)</f>
        <v>188055.9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67030.81</v>
      </c>
      <c r="G461" s="42">
        <f>G452+G460</f>
        <v>121025.09</v>
      </c>
      <c r="H461" s="42">
        <f>H452+H460</f>
        <v>0</v>
      </c>
      <c r="I461" s="42">
        <f>I452+I460</f>
        <v>188055.9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455064.34</v>
      </c>
      <c r="G465" s="18">
        <v>2741.65</v>
      </c>
      <c r="H465" s="18">
        <v>4.3099999999999996</v>
      </c>
      <c r="I465" s="18"/>
      <c r="J465" s="18">
        <v>222365.42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4191972.88</v>
      </c>
      <c r="G468" s="18">
        <v>65736.37</v>
      </c>
      <c r="H468" s="18">
        <v>63105.06</v>
      </c>
      <c r="I468" s="18"/>
      <c r="J468" s="18">
        <v>97836.04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4191972.88</v>
      </c>
      <c r="G470" s="53">
        <f>SUM(G468:G469)</f>
        <v>65736.37</v>
      </c>
      <c r="H470" s="53">
        <f>SUM(H468:H469)</f>
        <v>63105.06</v>
      </c>
      <c r="I470" s="53">
        <f>SUM(I468:I469)</f>
        <v>0</v>
      </c>
      <c r="J470" s="53">
        <f>SUM(J468:J469)</f>
        <v>97836.04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4307931.12</v>
      </c>
      <c r="G472" s="18">
        <v>65758.570000000007</v>
      </c>
      <c r="H472" s="18">
        <v>63105.07</v>
      </c>
      <c r="I472" s="18"/>
      <c r="J472" s="18">
        <v>132145.56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4307931.12</v>
      </c>
      <c r="G474" s="53">
        <f>SUM(G472:G473)</f>
        <v>65758.570000000007</v>
      </c>
      <c r="H474" s="53">
        <f>SUM(H472:H473)</f>
        <v>63105.07</v>
      </c>
      <c r="I474" s="53">
        <f>SUM(I472:I473)</f>
        <v>0</v>
      </c>
      <c r="J474" s="53">
        <f>SUM(J472:J473)</f>
        <v>132145.56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339106.09999999963</v>
      </c>
      <c r="G476" s="53">
        <f>(G465+G470)- G474</f>
        <v>2719.4499999999825</v>
      </c>
      <c r="H476" s="53">
        <f>(H465+H470)- H474</f>
        <v>4.2999999999956344</v>
      </c>
      <c r="I476" s="53">
        <f>(I465+I470)- I474</f>
        <v>0</v>
      </c>
      <c r="J476" s="53">
        <f>(J465+J470)- J474</f>
        <v>188055.90000000002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2371079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237107.9</v>
      </c>
      <c r="G495" s="18"/>
      <c r="H495" s="18"/>
      <c r="I495" s="18"/>
      <c r="J495" s="18"/>
      <c r="K495" s="53">
        <f>SUM(F495:J495)</f>
        <v>237107.9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237107.9</v>
      </c>
      <c r="G497" s="18"/>
      <c r="H497" s="18"/>
      <c r="I497" s="18"/>
      <c r="J497" s="18"/>
      <c r="K497" s="53">
        <f t="shared" si="35"/>
        <v>237107.9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233792.49</v>
      </c>
      <c r="G521" s="18">
        <v>98097.59</v>
      </c>
      <c r="H521" s="18">
        <v>139927.72</v>
      </c>
      <c r="I521" s="18">
        <v>662.91</v>
      </c>
      <c r="J521" s="18"/>
      <c r="K521" s="18"/>
      <c r="L521" s="88">
        <f>SUM(F521:K521)</f>
        <v>472480.7099999999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233792.49</v>
      </c>
      <c r="G524" s="108">
        <f t="shared" ref="G524:L524" si="36">SUM(G521:G523)</f>
        <v>98097.59</v>
      </c>
      <c r="H524" s="108">
        <f t="shared" si="36"/>
        <v>139927.72</v>
      </c>
      <c r="I524" s="108">
        <f t="shared" si="36"/>
        <v>662.91</v>
      </c>
      <c r="J524" s="108">
        <f t="shared" si="36"/>
        <v>0</v>
      </c>
      <c r="K524" s="108">
        <f t="shared" si="36"/>
        <v>0</v>
      </c>
      <c r="L524" s="89">
        <f t="shared" si="36"/>
        <v>472480.7099999999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50245.56</v>
      </c>
      <c r="G526" s="18">
        <v>21815.77</v>
      </c>
      <c r="H526" s="18">
        <v>87133.6</v>
      </c>
      <c r="I526" s="18">
        <v>1264.99</v>
      </c>
      <c r="J526" s="18"/>
      <c r="K526" s="18"/>
      <c r="L526" s="88">
        <f>SUM(F526:K526)</f>
        <v>160459.91999999998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50245.56</v>
      </c>
      <c r="G529" s="89">
        <f t="shared" ref="G529:L529" si="37">SUM(G526:G528)</f>
        <v>21815.77</v>
      </c>
      <c r="H529" s="89">
        <f t="shared" si="37"/>
        <v>87133.6</v>
      </c>
      <c r="I529" s="89">
        <f t="shared" si="37"/>
        <v>1264.99</v>
      </c>
      <c r="J529" s="89">
        <f t="shared" si="37"/>
        <v>0</v>
      </c>
      <c r="K529" s="89">
        <f t="shared" si="37"/>
        <v>0</v>
      </c>
      <c r="L529" s="89">
        <f t="shared" si="37"/>
        <v>160459.91999999998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17027.25</v>
      </c>
      <c r="G531" s="18">
        <v>7592.87</v>
      </c>
      <c r="H531" s="18"/>
      <c r="I531" s="18"/>
      <c r="J531" s="18"/>
      <c r="K531" s="18"/>
      <c r="L531" s="88">
        <f>SUM(F531:K531)</f>
        <v>24620.12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17027.25</v>
      </c>
      <c r="G534" s="89">
        <f t="shared" ref="G534:L534" si="38">SUM(G531:G533)</f>
        <v>7592.87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24620.12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20590</v>
      </c>
      <c r="I541" s="18"/>
      <c r="J541" s="18"/>
      <c r="K541" s="18"/>
      <c r="L541" s="88">
        <f>SUM(F541:K541)</f>
        <v>20590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20590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20590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301065.3</v>
      </c>
      <c r="G545" s="89">
        <f t="shared" ref="G545:L545" si="41">G524+G529+G534+G539+G544</f>
        <v>127506.23</v>
      </c>
      <c r="H545" s="89">
        <f t="shared" si="41"/>
        <v>247651.32</v>
      </c>
      <c r="I545" s="89">
        <f t="shared" si="41"/>
        <v>1927.9</v>
      </c>
      <c r="J545" s="89">
        <f t="shared" si="41"/>
        <v>0</v>
      </c>
      <c r="K545" s="89">
        <f t="shared" si="41"/>
        <v>0</v>
      </c>
      <c r="L545" s="89">
        <f t="shared" si="41"/>
        <v>678150.74999999988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472480.7099999999</v>
      </c>
      <c r="G549" s="87">
        <f>L526</f>
        <v>160459.91999999998</v>
      </c>
      <c r="H549" s="87">
        <f>L531</f>
        <v>24620.12</v>
      </c>
      <c r="I549" s="87">
        <f>L536</f>
        <v>0</v>
      </c>
      <c r="J549" s="87">
        <f>L541</f>
        <v>20590</v>
      </c>
      <c r="K549" s="87">
        <f>SUM(F549:J549)</f>
        <v>678150.74999999988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472480.7099999999</v>
      </c>
      <c r="G552" s="89">
        <f t="shared" si="42"/>
        <v>160459.91999999998</v>
      </c>
      <c r="H552" s="89">
        <f t="shared" si="42"/>
        <v>24620.12</v>
      </c>
      <c r="I552" s="89">
        <f t="shared" si="42"/>
        <v>0</v>
      </c>
      <c r="J552" s="89">
        <f t="shared" si="42"/>
        <v>20590</v>
      </c>
      <c r="K552" s="89">
        <f t="shared" si="42"/>
        <v>678150.74999999988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42965.71</v>
      </c>
      <c r="G579" s="18"/>
      <c r="H579" s="18"/>
      <c r="I579" s="87">
        <f t="shared" si="47"/>
        <v>42965.71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94927.48</v>
      </c>
      <c r="G583" s="18"/>
      <c r="H583" s="18"/>
      <c r="I583" s="87">
        <f t="shared" si="47"/>
        <v>94927.48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143947.23000000001</v>
      </c>
      <c r="I591" s="18"/>
      <c r="J591" s="18"/>
      <c r="K591" s="104">
        <f t="shared" ref="K591:K597" si="48">SUM(H591:J591)</f>
        <v>143947.23000000001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20590</v>
      </c>
      <c r="I592" s="18"/>
      <c r="J592" s="18"/>
      <c r="K592" s="104">
        <f t="shared" si="48"/>
        <v>20590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7347.51</v>
      </c>
      <c r="I594" s="18"/>
      <c r="J594" s="18"/>
      <c r="K594" s="104">
        <f t="shared" si="48"/>
        <v>7347.51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9761.5</v>
      </c>
      <c r="I595" s="18"/>
      <c r="J595" s="18"/>
      <c r="K595" s="104">
        <f t="shared" si="48"/>
        <v>9761.5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181646.24000000002</v>
      </c>
      <c r="I598" s="108">
        <f>SUM(I591:I597)</f>
        <v>0</v>
      </c>
      <c r="J598" s="108">
        <f>SUM(J591:J597)</f>
        <v>0</v>
      </c>
      <c r="K598" s="108">
        <f>SUM(K591:K597)</f>
        <v>181646.24000000002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73947.75</v>
      </c>
      <c r="I604" s="18"/>
      <c r="J604" s="18"/>
      <c r="K604" s="104">
        <f>SUM(H604:J604)</f>
        <v>73947.75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73947.75</v>
      </c>
      <c r="I605" s="108">
        <f>SUM(I602:I604)</f>
        <v>0</v>
      </c>
      <c r="J605" s="108">
        <f>SUM(J602:J604)</f>
        <v>0</v>
      </c>
      <c r="K605" s="108">
        <f>SUM(K602:K604)</f>
        <v>73947.75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398146.5</v>
      </c>
      <c r="H617" s="109">
        <f>SUM(F52)</f>
        <v>398146.5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2719.45</v>
      </c>
      <c r="H618" s="109">
        <f>SUM(G52)</f>
        <v>2719.45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2856.99</v>
      </c>
      <c r="H619" s="109">
        <f>SUM(H52)</f>
        <v>2856.9900000000002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188055.9</v>
      </c>
      <c r="H621" s="109">
        <f>SUM(J52)</f>
        <v>188055.9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339106.1</v>
      </c>
      <c r="H622" s="109">
        <f>F476</f>
        <v>339106.09999999963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2719.45</v>
      </c>
      <c r="H623" s="109">
        <f>G476</f>
        <v>2719.4499999999825</v>
      </c>
      <c r="I623" s="121" t="s">
        <v>102</v>
      </c>
      <c r="J623" s="109">
        <f t="shared" si="50"/>
        <v>1.7280399333685637E-11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4.3</v>
      </c>
      <c r="H624" s="109">
        <f>H476</f>
        <v>4.2999999999956344</v>
      </c>
      <c r="I624" s="121" t="s">
        <v>103</v>
      </c>
      <c r="J624" s="109">
        <f t="shared" si="50"/>
        <v>4.3653969328261155E-12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188055.9</v>
      </c>
      <c r="H626" s="109">
        <f>J476</f>
        <v>188055.90000000002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4191972.88</v>
      </c>
      <c r="H627" s="104">
        <f>SUM(F468)</f>
        <v>4191972.88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65736.37</v>
      </c>
      <c r="H628" s="104">
        <f>SUM(G468)</f>
        <v>65736.37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63105.06</v>
      </c>
      <c r="H629" s="104">
        <f>SUM(H468)</f>
        <v>63105.06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97836.04</v>
      </c>
      <c r="H631" s="104">
        <f>SUM(J468)</f>
        <v>97836.04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4307931.12</v>
      </c>
      <c r="H632" s="104">
        <f>SUM(F472)</f>
        <v>4307931.12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63105.07</v>
      </c>
      <c r="H633" s="104">
        <f>SUM(H472)</f>
        <v>63105.07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65758.570000000007</v>
      </c>
      <c r="H635" s="104">
        <f>SUM(G472)</f>
        <v>65758.570000000007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97836.040000000008</v>
      </c>
      <c r="H637" s="164">
        <f>SUM(J468)</f>
        <v>97836.04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132145.56</v>
      </c>
      <c r="H638" s="164">
        <f>SUM(J472)</f>
        <v>132145.56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67030.81</v>
      </c>
      <c r="H639" s="104">
        <f>SUM(F461)</f>
        <v>67030.81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121025.09</v>
      </c>
      <c r="H640" s="104">
        <f>SUM(G461)</f>
        <v>121025.09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188055.9</v>
      </c>
      <c r="H642" s="104">
        <f>SUM(I461)</f>
        <v>188055.9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2836.04</v>
      </c>
      <c r="H644" s="104">
        <f>H408</f>
        <v>2836.04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95000</v>
      </c>
      <c r="H645" s="104">
        <f>G408</f>
        <v>95000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97836.04</v>
      </c>
      <c r="H646" s="104">
        <f>L408</f>
        <v>97836.040000000008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181646.24000000002</v>
      </c>
      <c r="H647" s="104">
        <f>L208+L226+L244</f>
        <v>181646.24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73947.75</v>
      </c>
      <c r="H648" s="104">
        <f>(J257+J338)-(J255+J336)</f>
        <v>73947.75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181646.24</v>
      </c>
      <c r="H649" s="104">
        <f>H598</f>
        <v>181646.24000000002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25000</v>
      </c>
      <c r="H652" s="104">
        <f>K263+K345</f>
        <v>25000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95000</v>
      </c>
      <c r="H655" s="104">
        <f>K266+K347</f>
        <v>95000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3894358.4499999993</v>
      </c>
      <c r="G660" s="19">
        <f>(L229+L309+L359)</f>
        <v>0</v>
      </c>
      <c r="H660" s="19">
        <f>(L247+L328+L360)</f>
        <v>0</v>
      </c>
      <c r="I660" s="19">
        <f>SUM(F660:H660)</f>
        <v>3894358.4499999993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23082.82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23082.82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181646.24</v>
      </c>
      <c r="G662" s="19">
        <f>(L226+L306)-(J226+J306)</f>
        <v>0</v>
      </c>
      <c r="H662" s="19">
        <f>(L244+L325)-(J244+J325)</f>
        <v>0</v>
      </c>
      <c r="I662" s="19">
        <f>SUM(F662:H662)</f>
        <v>181646.24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211840.94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211840.94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3477788.4499999993</v>
      </c>
      <c r="G664" s="19">
        <f>G660-SUM(G661:G663)</f>
        <v>0</v>
      </c>
      <c r="H664" s="19">
        <f>H660-SUM(H661:H663)</f>
        <v>0</v>
      </c>
      <c r="I664" s="19">
        <f>I660-SUM(I661:I663)</f>
        <v>3477788.4499999993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157.78</v>
      </c>
      <c r="G665" s="248"/>
      <c r="H665" s="248"/>
      <c r="I665" s="19">
        <f>SUM(F665:H665)</f>
        <v>157.78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22042.01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22042.01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22042.01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22042.01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Holderness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1169139.17</v>
      </c>
      <c r="C9" s="229">
        <f>'DOE25'!G197+'DOE25'!G215+'DOE25'!G233+'DOE25'!G276+'DOE25'!G295+'DOE25'!G314</f>
        <v>501188.81</v>
      </c>
    </row>
    <row r="10" spans="1:3" x14ac:dyDescent="0.2">
      <c r="A10" t="s">
        <v>773</v>
      </c>
      <c r="B10" s="240">
        <v>1121763.68</v>
      </c>
      <c r="C10" s="240">
        <v>491459.95</v>
      </c>
    </row>
    <row r="11" spans="1:3" x14ac:dyDescent="0.2">
      <c r="A11" t="s">
        <v>774</v>
      </c>
      <c r="B11" s="240">
        <v>47375.49</v>
      </c>
      <c r="C11" s="240">
        <v>9728.86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1169139.17</v>
      </c>
      <c r="C13" s="231">
        <f>SUM(C10:C12)</f>
        <v>501188.81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233792.49</v>
      </c>
      <c r="C18" s="229">
        <f>'DOE25'!G198+'DOE25'!G216+'DOE25'!G234+'DOE25'!G277+'DOE25'!G296+'DOE25'!G315</f>
        <v>98097.59</v>
      </c>
    </row>
    <row r="19" spans="1:3" x14ac:dyDescent="0.2">
      <c r="A19" t="s">
        <v>773</v>
      </c>
      <c r="B19" s="240">
        <v>139903.4</v>
      </c>
      <c r="C19" s="240">
        <v>66731.08</v>
      </c>
    </row>
    <row r="20" spans="1:3" x14ac:dyDescent="0.2">
      <c r="A20" t="s">
        <v>774</v>
      </c>
      <c r="B20" s="240">
        <v>93889.09</v>
      </c>
      <c r="C20" s="240">
        <v>31366.51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233792.49</v>
      </c>
      <c r="C22" s="231">
        <f>SUM(C19:C21)</f>
        <v>98097.59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39075.61</v>
      </c>
      <c r="C36" s="235">
        <f>'DOE25'!G200+'DOE25'!G218+'DOE25'!G236+'DOE25'!G279+'DOE25'!G298+'DOE25'!G317</f>
        <v>7250.68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39075.61</v>
      </c>
      <c r="C39" s="240">
        <v>7250.68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39075.61</v>
      </c>
      <c r="C40" s="231">
        <f>SUM(C37:C39)</f>
        <v>7250.68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Holderness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2356263.87</v>
      </c>
      <c r="D5" s="20">
        <f>SUM('DOE25'!L197:L200)+SUM('DOE25'!L215:L218)+SUM('DOE25'!L233:L236)-F5-G5</f>
        <v>2299404.2600000002</v>
      </c>
      <c r="E5" s="243"/>
      <c r="F5" s="255">
        <f>SUM('DOE25'!J197:J200)+SUM('DOE25'!J215:J218)+SUM('DOE25'!J233:J236)</f>
        <v>56434.61</v>
      </c>
      <c r="G5" s="53">
        <f>SUM('DOE25'!K197:K200)+SUM('DOE25'!K215:K218)+SUM('DOE25'!K233:K236)</f>
        <v>425</v>
      </c>
      <c r="H5" s="259"/>
    </row>
    <row r="6" spans="1:9" x14ac:dyDescent="0.2">
      <c r="A6" s="32">
        <v>2100</v>
      </c>
      <c r="B6" t="s">
        <v>795</v>
      </c>
      <c r="C6" s="245">
        <f t="shared" si="0"/>
        <v>281648.5</v>
      </c>
      <c r="D6" s="20">
        <f>'DOE25'!L202+'DOE25'!L220+'DOE25'!L238-F6-G6</f>
        <v>279032.73</v>
      </c>
      <c r="E6" s="243"/>
      <c r="F6" s="255">
        <f>'DOE25'!J202+'DOE25'!J220+'DOE25'!J238</f>
        <v>0</v>
      </c>
      <c r="G6" s="53">
        <f>'DOE25'!K202+'DOE25'!K220+'DOE25'!K238</f>
        <v>2615.77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141002.26</v>
      </c>
      <c r="D7" s="20">
        <f>'DOE25'!L203+'DOE25'!L221+'DOE25'!L239-F7-G7</f>
        <v>141002.26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133931.56000000003</v>
      </c>
      <c r="D8" s="243"/>
      <c r="E8" s="20">
        <f>'DOE25'!L204+'DOE25'!L222+'DOE25'!L240-F8-G8-D9-D11</f>
        <v>131085.43000000002</v>
      </c>
      <c r="F8" s="255">
        <f>'DOE25'!J204+'DOE25'!J222+'DOE25'!J240</f>
        <v>0</v>
      </c>
      <c r="G8" s="53">
        <f>'DOE25'!K204+'DOE25'!K222+'DOE25'!K240</f>
        <v>2846.13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18246.240000000002</v>
      </c>
      <c r="D9" s="244">
        <v>18246.240000000002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5600</v>
      </c>
      <c r="D10" s="243"/>
      <c r="E10" s="244">
        <v>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89315.19</v>
      </c>
      <c r="D11" s="244">
        <v>89315.19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229100.30000000002</v>
      </c>
      <c r="D12" s="20">
        <f>'DOE25'!L205+'DOE25'!L223+'DOE25'!L241-F12-G12</f>
        <v>228715.84000000003</v>
      </c>
      <c r="E12" s="243"/>
      <c r="F12" s="255">
        <f>'DOE25'!J205+'DOE25'!J223+'DOE25'!J241</f>
        <v>0</v>
      </c>
      <c r="G12" s="53">
        <f>'DOE25'!K205+'DOE25'!K223+'DOE25'!K241</f>
        <v>384.46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334340.65000000002</v>
      </c>
      <c r="D14" s="20">
        <f>'DOE25'!L207+'DOE25'!L225+'DOE25'!L243-F14-G14</f>
        <v>326435.65000000002</v>
      </c>
      <c r="E14" s="243"/>
      <c r="F14" s="255">
        <f>'DOE25'!J207+'DOE25'!J225+'DOE25'!J243</f>
        <v>7905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181646.24</v>
      </c>
      <c r="D15" s="20">
        <f>'DOE25'!L208+'DOE25'!L226+'DOE25'!L244-F15-G15</f>
        <v>181646.24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180730.49</v>
      </c>
      <c r="D22" s="243"/>
      <c r="E22" s="243"/>
      <c r="F22" s="255">
        <f>'DOE25'!L255+'DOE25'!L336</f>
        <v>180730.49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241705.82</v>
      </c>
      <c r="D25" s="243"/>
      <c r="E25" s="243"/>
      <c r="F25" s="258"/>
      <c r="G25" s="256"/>
      <c r="H25" s="257">
        <f>'DOE25'!L260+'DOE25'!L261+'DOE25'!L341+'DOE25'!L342</f>
        <v>241705.82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65758.570000000007</v>
      </c>
      <c r="D29" s="20">
        <f>'DOE25'!L358+'DOE25'!L359+'DOE25'!L360-'DOE25'!I367-F29-G29</f>
        <v>65758.570000000007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63105.07</v>
      </c>
      <c r="D31" s="20">
        <f>'DOE25'!L290+'DOE25'!L309+'DOE25'!L328+'DOE25'!L333+'DOE25'!L334+'DOE25'!L335-F31-G31</f>
        <v>52065.32</v>
      </c>
      <c r="E31" s="243"/>
      <c r="F31" s="255">
        <f>'DOE25'!J290+'DOE25'!J309+'DOE25'!J328+'DOE25'!J333+'DOE25'!J334+'DOE25'!J335</f>
        <v>9608.14</v>
      </c>
      <c r="G31" s="53">
        <f>'DOE25'!K290+'DOE25'!K309+'DOE25'!K328+'DOE25'!K333+'DOE25'!K334+'DOE25'!K335</f>
        <v>1431.6100000000001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3681622.3</v>
      </c>
      <c r="E33" s="246">
        <f>SUM(E5:E31)</f>
        <v>136685.43000000002</v>
      </c>
      <c r="F33" s="246">
        <f>SUM(F5:F31)</f>
        <v>254678.24</v>
      </c>
      <c r="G33" s="246">
        <f>SUM(G5:G31)</f>
        <v>7702.9699999999993</v>
      </c>
      <c r="H33" s="246">
        <f>SUM(H5:H31)</f>
        <v>241705.82</v>
      </c>
    </row>
    <row r="35" spans="2:8" ht="12" thickBot="1" x14ac:dyDescent="0.25">
      <c r="B35" s="253" t="s">
        <v>841</v>
      </c>
      <c r="D35" s="254">
        <f>E33</f>
        <v>136685.43000000002</v>
      </c>
      <c r="E35" s="249"/>
    </row>
    <row r="36" spans="2:8" ht="12" thickTop="1" x14ac:dyDescent="0.2">
      <c r="B36" t="s">
        <v>809</v>
      </c>
      <c r="D36" s="20">
        <f>D33</f>
        <v>3681622.3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392070.12</v>
      </c>
      <c r="D8" s="95">
        <f>'DOE25'!G9</f>
        <v>-7924.22</v>
      </c>
      <c r="E8" s="95">
        <f>'DOE25'!H9</f>
        <v>-9743.2800000000007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188055.9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2435.2399999999998</v>
      </c>
      <c r="D12" s="95">
        <f>'DOE25'!G13</f>
        <v>10643.67</v>
      </c>
      <c r="E12" s="95">
        <f>'DOE25'!H13</f>
        <v>12600.27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3641.14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398146.5</v>
      </c>
      <c r="D18" s="41">
        <f>SUM(D8:D17)</f>
        <v>2719.45</v>
      </c>
      <c r="E18" s="41">
        <f>SUM(E8:E17)</f>
        <v>2856.99</v>
      </c>
      <c r="F18" s="41">
        <f>SUM(F8:F17)</f>
        <v>0</v>
      </c>
      <c r="G18" s="41">
        <f>SUM(G8:G17)</f>
        <v>188055.9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59040.4</v>
      </c>
      <c r="D23" s="95">
        <f>'DOE25'!G24</f>
        <v>0</v>
      </c>
      <c r="E23" s="95">
        <f>'DOE25'!H24</f>
        <v>2852.69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59040.4</v>
      </c>
      <c r="D31" s="41">
        <f>SUM(D21:D30)</f>
        <v>0</v>
      </c>
      <c r="E31" s="41">
        <f>SUM(E21:E30)</f>
        <v>2852.69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97341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2719.45</v>
      </c>
      <c r="E47" s="95">
        <f>'DOE25'!H48</f>
        <v>4.3</v>
      </c>
      <c r="F47" s="95">
        <f>'DOE25'!I48</f>
        <v>0</v>
      </c>
      <c r="G47" s="95">
        <f>'DOE25'!J48</f>
        <v>188055.9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55673.84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166091.26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339106.1</v>
      </c>
      <c r="D50" s="41">
        <f>SUM(D34:D49)</f>
        <v>2719.45</v>
      </c>
      <c r="E50" s="41">
        <f>SUM(E34:E49)</f>
        <v>4.3</v>
      </c>
      <c r="F50" s="41">
        <f>SUM(F34:F49)</f>
        <v>0</v>
      </c>
      <c r="G50" s="41">
        <f>SUM(G34:G49)</f>
        <v>188055.9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398146.5</v>
      </c>
      <c r="D51" s="41">
        <f>D50+D31</f>
        <v>2719.45</v>
      </c>
      <c r="E51" s="41">
        <f>E50+E31</f>
        <v>2856.9900000000002</v>
      </c>
      <c r="F51" s="41">
        <f>F50+F31</f>
        <v>0</v>
      </c>
      <c r="G51" s="41">
        <f>G50+G31</f>
        <v>188055.9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2862815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35480.300000000003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50.86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2836.04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23082.82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24759.11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60290.270000000004</v>
      </c>
      <c r="D62" s="130">
        <f>SUM(D57:D61)</f>
        <v>23082.82</v>
      </c>
      <c r="E62" s="130">
        <f>SUM(E57:E61)</f>
        <v>0</v>
      </c>
      <c r="F62" s="130">
        <f>SUM(F57:F61)</f>
        <v>0</v>
      </c>
      <c r="G62" s="130">
        <f>SUM(G57:G61)</f>
        <v>2836.04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2923105.27</v>
      </c>
      <c r="D63" s="22">
        <f>D56+D62</f>
        <v>23082.82</v>
      </c>
      <c r="E63" s="22">
        <f>E56+E62</f>
        <v>0</v>
      </c>
      <c r="F63" s="22">
        <f>F56+F62</f>
        <v>0</v>
      </c>
      <c r="G63" s="22">
        <f>G56+G62</f>
        <v>2836.04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1030835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1030835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75159.06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7769.48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758.94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82928.539999999994</v>
      </c>
      <c r="D78" s="130">
        <f>SUM(D72:D77)</f>
        <v>758.94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1113763.54</v>
      </c>
      <c r="D81" s="130">
        <f>SUM(D79:D80)+D78+D70</f>
        <v>758.94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22618.87</v>
      </c>
      <c r="D88" s="95">
        <f>SUM('DOE25'!G153:G161)</f>
        <v>16894.61</v>
      </c>
      <c r="E88" s="95">
        <f>SUM('DOE25'!H153:H161)</f>
        <v>63105.06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339.64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22958.51</v>
      </c>
      <c r="D91" s="131">
        <f>SUM(D85:D90)</f>
        <v>16894.61</v>
      </c>
      <c r="E91" s="131">
        <f>SUM(E85:E90)</f>
        <v>63105.06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25000</v>
      </c>
      <c r="E96" s="95">
        <f>'DOE25'!H179</f>
        <v>0</v>
      </c>
      <c r="F96" s="95">
        <f>'DOE25'!I179</f>
        <v>0</v>
      </c>
      <c r="G96" s="95">
        <f>'DOE25'!J179</f>
        <v>95000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132145.56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132145.56</v>
      </c>
      <c r="D103" s="86">
        <f>SUM(D93:D102)</f>
        <v>25000</v>
      </c>
      <c r="E103" s="86">
        <f>SUM(E93:E102)</f>
        <v>0</v>
      </c>
      <c r="F103" s="86">
        <f>SUM(F93:F102)</f>
        <v>0</v>
      </c>
      <c r="G103" s="86">
        <f>SUM(G93:G102)</f>
        <v>95000</v>
      </c>
    </row>
    <row r="104" spans="1:7" ht="12.75" thickTop="1" thickBot="1" x14ac:dyDescent="0.25">
      <c r="A104" s="33" t="s">
        <v>759</v>
      </c>
      <c r="C104" s="86">
        <f>C63+C81+C91+C103</f>
        <v>4191972.88</v>
      </c>
      <c r="D104" s="86">
        <f>D63+D81+D91+D103</f>
        <v>65736.37</v>
      </c>
      <c r="E104" s="86">
        <f>E63+E81+E91+E103</f>
        <v>63105.06</v>
      </c>
      <c r="F104" s="86">
        <f>F63+F81+F91+F103</f>
        <v>0</v>
      </c>
      <c r="G104" s="86">
        <f>G63+G81+G103</f>
        <v>97836.04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1773851.32</v>
      </c>
      <c r="D109" s="24" t="s">
        <v>286</v>
      </c>
      <c r="E109" s="95">
        <f>('DOE25'!L276)+('DOE25'!L295)+('DOE25'!L314)</f>
        <v>51459.229999999996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527960.42000000004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54452.130000000005</v>
      </c>
      <c r="D112" s="24" t="s">
        <v>286</v>
      </c>
      <c r="E112" s="95">
        <f>+('DOE25'!L279)+('DOE25'!L298)+('DOE25'!L317)</f>
        <v>4412.8500000000004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2356263.87</v>
      </c>
      <c r="D115" s="86">
        <f>SUM(D109:D114)</f>
        <v>0</v>
      </c>
      <c r="E115" s="86">
        <f>SUM(E109:E114)</f>
        <v>55872.079999999994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281648.5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141002.26</v>
      </c>
      <c r="D119" s="24" t="s">
        <v>286</v>
      </c>
      <c r="E119" s="95">
        <f>+('DOE25'!L282)+('DOE25'!L301)+('DOE25'!L320)</f>
        <v>3249.7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241492.99000000002</v>
      </c>
      <c r="D120" s="24" t="s">
        <v>286</v>
      </c>
      <c r="E120" s="95">
        <f>+('DOE25'!L283)+('DOE25'!L302)+('DOE25'!L321)</f>
        <v>2271.33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229100.30000000002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1271.98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334340.65000000002</v>
      </c>
      <c r="D123" s="24" t="s">
        <v>286</v>
      </c>
      <c r="E123" s="95">
        <f>+('DOE25'!L286)+('DOE25'!L305)+('DOE25'!L324)</f>
        <v>439.98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181646.24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65758.570000000007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1409230.9400000002</v>
      </c>
      <c r="D128" s="86">
        <f>SUM(D118:D127)</f>
        <v>65758.570000000007</v>
      </c>
      <c r="E128" s="86">
        <f>SUM(E118:E127)</f>
        <v>7232.99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180730.49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237107.9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4597.92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132145.56</v>
      </c>
    </row>
    <row r="135" spans="1:7" x14ac:dyDescent="0.2">
      <c r="A135" t="s">
        <v>233</v>
      </c>
      <c r="B135" s="32" t="s">
        <v>234</v>
      </c>
      <c r="C135" s="95">
        <f>'DOE25'!L263</f>
        <v>25000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51212.66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46623.380000000005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-2836.0400000000081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542436.30999999994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132145.56</v>
      </c>
    </row>
    <row r="145" spans="1:9" ht="12.75" thickTop="1" thickBot="1" x14ac:dyDescent="0.25">
      <c r="A145" s="33" t="s">
        <v>244</v>
      </c>
      <c r="C145" s="86">
        <f>(C115+C128+C144)</f>
        <v>4307931.12</v>
      </c>
      <c r="D145" s="86">
        <f>(D115+D128+D144)</f>
        <v>65758.570000000007</v>
      </c>
      <c r="E145" s="86">
        <f>(E115+E128+E144)</f>
        <v>63105.069999999992</v>
      </c>
      <c r="F145" s="86">
        <f>(F115+F128+F144)</f>
        <v>0</v>
      </c>
      <c r="G145" s="86">
        <f>(G115+G128+G144)</f>
        <v>132145.56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2371079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237107.9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237107.9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237107.9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237107.9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Holderness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22042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22042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1825311</v>
      </c>
      <c r="D10" s="182">
        <f>ROUND((C10/$C$28)*100,1)</f>
        <v>47.1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527960</v>
      </c>
      <c r="D11" s="182">
        <f>ROUND((C11/$C$28)*100,1)</f>
        <v>13.6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58865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281649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144252</v>
      </c>
      <c r="D16" s="182">
        <f t="shared" si="0"/>
        <v>3.7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243764</v>
      </c>
      <c r="D17" s="182">
        <f t="shared" si="0"/>
        <v>6.3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229100</v>
      </c>
      <c r="D18" s="182">
        <f t="shared" si="0"/>
        <v>5.9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1272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334781</v>
      </c>
      <c r="D20" s="182">
        <f t="shared" si="0"/>
        <v>8.6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181646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4598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42676.18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3875874.18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180730</v>
      </c>
    </row>
    <row r="30" spans="1:4" x14ac:dyDescent="0.2">
      <c r="B30" s="187" t="s">
        <v>723</v>
      </c>
      <c r="C30" s="180">
        <f>SUM(C28:C29)</f>
        <v>4056604.18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237108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2862815</v>
      </c>
      <c r="D35" s="182">
        <f t="shared" ref="D35:D40" si="1">ROUND((C35/$C$41)*100,1)</f>
        <v>69.099999999999994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63126.310000000056</v>
      </c>
      <c r="D36" s="182">
        <f t="shared" si="1"/>
        <v>1.5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1030835</v>
      </c>
      <c r="D37" s="182">
        <f t="shared" si="1"/>
        <v>24.9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83687</v>
      </c>
      <c r="D38" s="182">
        <f t="shared" si="1"/>
        <v>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102958</v>
      </c>
      <c r="D39" s="182">
        <f t="shared" si="1"/>
        <v>2.5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4143421.31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Holderness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2018-10-03T15:30:11Z</cp:lastPrinted>
  <dcterms:created xsi:type="dcterms:W3CDTF">1997-12-04T19:04:30Z</dcterms:created>
  <dcterms:modified xsi:type="dcterms:W3CDTF">2018-11-13T19:53:05Z</dcterms:modified>
</cp:coreProperties>
</file>