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0490" windowHeight="5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211" i="1" s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I662" i="1" s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I661" i="1" s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C17" i="10" s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C21" i="10" s="1"/>
  <c r="L326" i="1"/>
  <c r="L333" i="1"/>
  <c r="L334" i="1"/>
  <c r="L335" i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3" i="10"/>
  <c r="C15" i="10"/>
  <c r="C18" i="10"/>
  <c r="C19" i="10"/>
  <c r="L250" i="1"/>
  <c r="L332" i="1"/>
  <c r="L254" i="1"/>
  <c r="L268" i="1"/>
  <c r="L269" i="1"/>
  <c r="L349" i="1"/>
  <c r="L350" i="1"/>
  <c r="I665" i="1"/>
  <c r="I670" i="1"/>
  <c r="L229" i="1"/>
  <c r="L247" i="1"/>
  <c r="F661" i="1"/>
  <c r="H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E57" i="2"/>
  <c r="E58" i="2"/>
  <c r="E62" i="2" s="1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G257" i="1" s="1"/>
  <c r="G271" i="1" s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J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F452" i="1"/>
  <c r="G452" i="1"/>
  <c r="H452" i="1"/>
  <c r="F460" i="1"/>
  <c r="G460" i="1"/>
  <c r="H460" i="1"/>
  <c r="F461" i="1"/>
  <c r="H639" i="1" s="1"/>
  <c r="G461" i="1"/>
  <c r="H461" i="1"/>
  <c r="H641" i="1" s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40" i="1"/>
  <c r="G641" i="1"/>
  <c r="G642" i="1"/>
  <c r="G643" i="1"/>
  <c r="J643" i="1" s="1"/>
  <c r="G644" i="1"/>
  <c r="H644" i="1"/>
  <c r="J644" i="1" s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K257" i="1"/>
  <c r="K271" i="1" s="1"/>
  <c r="I257" i="1"/>
  <c r="I271" i="1" s="1"/>
  <c r="C18" i="2"/>
  <c r="C26" i="10"/>
  <c r="L328" i="1"/>
  <c r="H660" i="1" s="1"/>
  <c r="L351" i="1"/>
  <c r="L290" i="1"/>
  <c r="A31" i="12"/>
  <c r="A40" i="12"/>
  <c r="D12" i="13"/>
  <c r="C12" i="13" s="1"/>
  <c r="D62" i="2"/>
  <c r="D18" i="13"/>
  <c r="C18" i="13" s="1"/>
  <c r="D15" i="13"/>
  <c r="C15" i="13" s="1"/>
  <c r="D7" i="13"/>
  <c r="C7" i="13" s="1"/>
  <c r="D18" i="2"/>
  <c r="D6" i="13"/>
  <c r="C6" i="13" s="1"/>
  <c r="E8" i="13"/>
  <c r="C8" i="13" s="1"/>
  <c r="C128" i="2"/>
  <c r="D50" i="2"/>
  <c r="G161" i="2"/>
  <c r="E103" i="2"/>
  <c r="D91" i="2"/>
  <c r="G62" i="2"/>
  <c r="D29" i="13"/>
  <c r="C29" i="13" s="1"/>
  <c r="D19" i="13"/>
  <c r="C19" i="13" s="1"/>
  <c r="D14" i="13"/>
  <c r="C14" i="13" s="1"/>
  <c r="E13" i="13"/>
  <c r="C13" i="13" s="1"/>
  <c r="J617" i="1"/>
  <c r="J257" i="1"/>
  <c r="J271" i="1" s="1"/>
  <c r="H112" i="1"/>
  <c r="F112" i="1"/>
  <c r="K605" i="1"/>
  <c r="G648" i="1" s="1"/>
  <c r="L433" i="1"/>
  <c r="L419" i="1"/>
  <c r="D81" i="2"/>
  <c r="I169" i="1"/>
  <c r="H169" i="1"/>
  <c r="G552" i="1"/>
  <c r="J476" i="1"/>
  <c r="H626" i="1" s="1"/>
  <c r="H476" i="1"/>
  <c r="H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G22" i="2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545" i="1"/>
  <c r="H338" i="1"/>
  <c r="H352" i="1" s="1"/>
  <c r="G192" i="1"/>
  <c r="H192" i="1"/>
  <c r="E128" i="2"/>
  <c r="C35" i="10"/>
  <c r="L309" i="1"/>
  <c r="D5" i="13"/>
  <c r="C5" i="13" s="1"/>
  <c r="L570" i="1"/>
  <c r="J636" i="1"/>
  <c r="G36" i="2"/>
  <c r="H545" i="1"/>
  <c r="K551" i="1"/>
  <c r="C138" i="2"/>
  <c r="H33" i="13"/>
  <c r="K598" i="1" l="1"/>
  <c r="G647" i="1" s="1"/>
  <c r="J647" i="1" s="1"/>
  <c r="F552" i="1"/>
  <c r="L524" i="1"/>
  <c r="L545" i="1" s="1"/>
  <c r="G81" i="2"/>
  <c r="D63" i="2"/>
  <c r="L257" i="1"/>
  <c r="L271" i="1" s="1"/>
  <c r="G632" i="1" s="1"/>
  <c r="J641" i="1"/>
  <c r="K552" i="1"/>
  <c r="E33" i="13"/>
  <c r="D35" i="13" s="1"/>
  <c r="E63" i="2"/>
  <c r="E104" i="2" s="1"/>
  <c r="H664" i="1"/>
  <c r="H667" i="1" s="1"/>
  <c r="G624" i="1"/>
  <c r="J624" i="1" s="1"/>
  <c r="K500" i="1"/>
  <c r="I460" i="1"/>
  <c r="I452" i="1"/>
  <c r="I461" i="1" s="1"/>
  <c r="H642" i="1" s="1"/>
  <c r="D145" i="2"/>
  <c r="C78" i="2"/>
  <c r="C81" i="2" s="1"/>
  <c r="E132" i="2"/>
  <c r="E144" i="2" s="1"/>
  <c r="E145" i="2" s="1"/>
  <c r="L362" i="1"/>
  <c r="F660" i="1"/>
  <c r="F664" i="1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I140" i="1"/>
  <c r="I193" i="1" s="1"/>
  <c r="G630" i="1" s="1"/>
  <c r="J630" i="1" s="1"/>
  <c r="A22" i="12"/>
  <c r="H646" i="1"/>
  <c r="H648" i="1"/>
  <c r="J648" i="1" s="1"/>
  <c r="C104" i="2"/>
  <c r="J652" i="1"/>
  <c r="J642" i="1"/>
  <c r="G571" i="1"/>
  <c r="I434" i="1"/>
  <c r="G434" i="1"/>
  <c r="I663" i="1"/>
  <c r="C27" i="10"/>
  <c r="G635" i="1"/>
  <c r="J635" i="1" s="1"/>
  <c r="G104" i="2" l="1"/>
  <c r="D104" i="2"/>
  <c r="F51" i="2"/>
  <c r="F104" i="2"/>
  <c r="C28" i="10"/>
  <c r="D19" i="10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6" i="10"/>
  <c r="D12" i="10"/>
  <c r="D21" i="10"/>
  <c r="C30" i="10"/>
  <c r="D17" i="10"/>
  <c r="D11" i="10"/>
  <c r="D26" i="10"/>
  <c r="D18" i="10"/>
  <c r="D13" i="10"/>
  <c r="D10" i="10"/>
  <c r="D27" i="10"/>
  <c r="D20" i="10" l="1"/>
  <c r="D28" i="10" s="1"/>
  <c r="D15" i="10"/>
  <c r="D25" i="10"/>
  <c r="I667" i="1"/>
  <c r="H656" i="1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<sst xmlns="http://schemas.openxmlformats.org/spreadsheetml/2006/main" count="3957" uniqueCount="913">
  <si>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</si>
  <si>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</si>
  <si>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</si>
  <si>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</si>
  <si>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</si>
  <si>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</si>
  <si>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</si>
  <si>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</si>
  <si>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</si>
  <si>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</si>
  <si>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</si>
  <si>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</si>
  <si>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</si>
  <si>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</si>
  <si>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</si>
  <si>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</si>
  <si>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</si>
  <si>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</si>
  <si>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</si>
  <si>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</si>
  <si>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</si>
  <si>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</si>
  <si>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</si>
  <si>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</si>
  <si>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</si>
  <si>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</si>
  <si>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</si>
  <si>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</si>
  <si>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</si>
  <si>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</si>
  <si>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</si>
  <si>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</si>
  <si>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</si>
  <si>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</si>
  <si>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</si>
  <si>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</si>
  <si>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</si>
  <si>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</si>
  <si>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</si>
  <si>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</si>
  <si>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</si>
  <si>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</si>
  <si>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</si>
  <si>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</si>
  <si>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</si>
  <si>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</si>
  <si>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</si>
  <si>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</si>
  <si>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</si>
  <si>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</si>
  <si>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</si>
  <si>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</si>
  <si>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</si>
  <si>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</si>
  <si>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</si>
  <si>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</si>
  <si>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</si>
  <si>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</si>
  <si>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</si>
  <si>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</si>
  <si>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</si>
  <si>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</si>
  <si>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</si>
  <si>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</si>
  <si>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</si>
  <si>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</si>
  <si>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</si>
  <si>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</si>
  <si>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</si>
  <si>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</si>
  <si>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</si>
  <si>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</si>
  <si>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</si>
  <si>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</si>
  <si>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</si>
  <si>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</si>
  <si>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</si>
  <si>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</si>
  <si>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</si>
  <si>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</si>
  <si>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</si>
  <si>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</si>
  <si>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</si>
  <si>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</si>
  <si>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</si>
  <si>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</si>
  <si>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</si>
  <si>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</si>
  <si>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</si>
  <si>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</si>
  <si>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</si>
  <si>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</si>
  <si>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</si>
  <si>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</si>
  <si>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</si>
  <si>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</si>
  <si>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</si>
  <si>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</si>
  <si>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</si>
  <si>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</si>
  <si>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</si>
  <si>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</si>
  <si>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</si>
  <si>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</si>
  <si>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</si>
  <si>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</si>
  <si>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</si>
  <si>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</si>
  <si>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</si>
  <si>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</si>
  <si>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</si>
  <si>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</si>
  <si>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</si>
  <si>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</si>
  <si>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</si>
  <si>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</si>
  <si>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</si>
  <si>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</si>
  <si>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</si>
  <si>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</si>
  <si>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</si>
  <si>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</si>
  <si>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</si>
  <si>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</si>
  <si>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</si>
  <si>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</si>
  <si>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</si>
  <si>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</si>
  <si>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</si>
  <si>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</si>
  <si>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</si>
  <si>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</si>
  <si>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</si>
  <si>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</si>
  <si>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</si>
  <si>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</si>
  <si>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</si>
  <si>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</si>
  <si>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</si>
  <si>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</si>
  <si>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</si>
  <si>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</si>
  <si>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</si>
  <si>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</si>
  <si>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</si>
  <si>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</si>
  <si>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</si>
  <si>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</si>
  <si>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</si>
  <si>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</si>
  <si>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</si>
  <si>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</si>
  <si>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</si>
  <si>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</si>
  <si>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</si>
  <si>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</si>
  <si>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</si>
  <si>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</si>
  <si>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</si>
  <si>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</si>
  <si>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</si>
  <si>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</si>
  <si>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</si>
  <si>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</si>
  <si>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</si>
  <si>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</si>
  <si>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</si>
  <si>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</si>
  <si>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</si>
  <si>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</si>
  <si>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</si>
  <si>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</si>
  <si>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</si>
  <si>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</si>
  <si>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</si>
  <si>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</si>
  <si>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</si>
  <si>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</si>
  <si>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</si>
  <si>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</si>
  <si>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</si>
  <si>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</si>
  <si>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</si>
  <si>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</si>
  <si>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</si>
  <si>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</si>
  <si>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</si>
  <si>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</si>
  <si>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</si>
  <si>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</si>
  <si>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</si>
  <si>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</si>
  <si>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</si>
  <si>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</si>
  <si>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</si>
  <si>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</si>
  <si>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</si>
  <si>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</si>
  <si>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</si>
  <si>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</si>
  <si>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</si>
  <si>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</si>
  <si>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</si>
  <si>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</si>
  <si>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</si>
  <si>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</si>
  <si>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</si>
  <si>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</si>
  <si>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</si>
  <si>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</si>
  <si>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</si>
  <si>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</si>
  <si>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</si>
  <si>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</si>
  <si>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</si>
  <si>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</si>
  <si>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</si>
  <si>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</si>
  <si>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</si>
  <si>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</si>
  <si>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</si>
  <si>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</si>
  <si>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</si>
  <si>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</si>
  <si>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</si>
  <si>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</si>
  <si>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</si>
  <si>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</si>
  <si>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</si>
  <si>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</si>
  <si>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</si>
  <si>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</si>
  <si>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</si>
  <si>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</si>
  <si>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</si>
  <si>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</si>
  <si>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</si>
  <si>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</si>
  <si>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</si>
  <si>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</si>
  <si>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</si>
  <si>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</si>
  <si>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</si>
  <si>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</si>
  <si>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</si>
  <si>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</si>
  <si>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</si>
  <si>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</si>
  <si>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</si>
  <si>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</si>
  <si>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</si>
  <si>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</si>
  <si>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</si>
  <si>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</si>
  <si>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</si>
  <si>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</si>
  <si>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</si>
  <si>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</si>
  <si>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</si>
  <si>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</si>
  <si>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</si>
  <si>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</si>
  <si>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</si>
  <si>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</si>
  <si>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</si>
  <si>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</si>
  <si>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</si>
  <si>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</si>
  <si>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</si>
  <si>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</si>
  <si>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</si>
  <si>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</si>
  <si>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</si>
  <si>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</si>
  <si>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</si>
  <si>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</si>
  <si>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</si>
  <si>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</si>
  <si>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</si>
  <si>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</si>
  <si>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</si>
  <si>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</si>
  <si>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</si>
  <si>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</si>
  <si>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</si>
  <si>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</si>
  <si>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</si>
  <si>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</si>
  <si>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</si>
  <si>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</si>
  <si>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</si>
  <si>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</si>
  <si>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</si>
  <si>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</si>
  <si>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</si>
  <si>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</si>
  <si>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</si>
  <si>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</si>
  <si>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</si>
  <si>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</si>
  <si>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</si>
  <si>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</si>
  <si>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</si>
  <si>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</si>
  <si>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</si>
  <si>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</si>
  <si>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</si>
  <si>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</si>
  <si>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</si>
  <si>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</si>
  <si>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</si>
  <si>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</si>
  <si>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</si>
  <si>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</si>
  <si>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</si>
  <si>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</si>
  <si>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</si>
  <si>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</si>
  <si>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</si>
  <si>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</si>
  <si>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</si>
  <si>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</si>
  <si>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</si>
  <si>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</si>
  <si>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</si>
  <si>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</si>
  <si>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</si>
  <si>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</si>
  <si>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</si>
  <si>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</si>
  <si>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</si>
  <si>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</si>
  <si>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</si>
  <si>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</si>
  <si>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</si>
  <si>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</si>
  <si>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</si>
  <si>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</si>
  <si>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</si>
  <si>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</si>
  <si>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</si>
  <si>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</si>
  <si>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</si>
  <si>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</si>
  <si>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</si>
  <si>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</si>
  <si>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</si>
  <si>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</si>
  <si>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</si>
  <si>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</si>
  <si>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</si>
  <si>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</si>
  <si>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</si>
  <si>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</si>
  <si>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</si>
  <si>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</si>
  <si>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</si>
  <si>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</si>
  <si>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</si>
  <si>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</si>
  <si>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</si>
  <si>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</si>
  <si>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</si>
  <si>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</si>
  <si>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</si>
  <si>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</si>
  <si>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</si>
  <si>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</si>
  <si>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</si>
  <si>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</si>
  <si>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</si>
  <si>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</si>
  <si>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</si>
  <si>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</si>
  <si>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</si>
  <si>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</si>
  <si>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</si>
  <si>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</si>
  <si>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</si>
  <si>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</si>
  <si>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</si>
  <si>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</si>
  <si>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</si>
  <si>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</si>
  <si>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</si>
  <si>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</si>
  <si>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</si>
  <si>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</si>
  <si>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</si>
  <si>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</si>
  <si>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</si>
  <si>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</si>
  <si>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</si>
  <si>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</si>
  <si>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</si>
  <si>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</si>
  <si>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</si>
  <si>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</si>
  <si>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</si>
  <si>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</si>
  <si>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</si>
  <si>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</si>
  <si>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</si>
  <si>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</si>
  <si>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</si>
  <si>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</si>
  <si>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</si>
  <si>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</si>
  <si>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</si>
  <si>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</si>
  <si>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</si>
  <si>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</si>
  <si>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</si>
  <si>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</si>
  <si>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</si>
  <si>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</si>
  <si>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</si>
  <si>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</si>
  <si>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</si>
  <si>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</si>
  <si>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</si>
  <si>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</si>
  <si>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</si>
  <si>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</si>
  <si>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</si>
  <si>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</si>
  <si>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</si>
  <si>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</si>
  <si>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</si>
  <si>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</si>
  <si>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</si>
  <si>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</si>
  <si>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</si>
  <si>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</si>
  <si>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</si>
  <si>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</si>
  <si>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</si>
  <si>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</si>
  <si>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</si>
  <si>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</si>
  <si>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</si>
  <si>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</si>
  <si>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</si>
  <si>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</si>
  <si>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</si>
  <si>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</si>
  <si>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</si>
  <si>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</si>
  <si>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</si>
  <si>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</si>
  <si>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</si>
  <si>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</si>
  <si>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</si>
  <si>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</si>
  <si>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</si>
  <si>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</si>
  <si>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</si>
  <si>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</si>
  <si>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</si>
  <si>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</si>
  <si>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</si>
  <si>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</si>
  <si>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</si>
  <si>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</si>
  <si>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</si>
  <si>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</si>
  <si>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</si>
  <si>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</si>
  <si>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</si>
  <si>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</si>
  <si>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</si>
  <si>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</si>
  <si>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</si>
  <si>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</si>
  <si>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</si>
  <si>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</si>
  <si>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</si>
  <si>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</si>
  <si>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</si>
  <si>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</si>
  <si>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</si>
  <si>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</si>
  <si>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</si>
  <si>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</si>
  <si>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</si>
  <si>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</si>
  <si>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</si>
  <si>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</si>
  <si>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</si>
  <si>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</si>
  <si>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</si>
  <si>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</si>
  <si>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</si>
  <si>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</si>
  <si>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</si>
  <si>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</si>
  <si>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</si>
  <si>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</si>
  <si>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</si>
  <si>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</si>
  <si>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</si>
  <si>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</si>
  <si>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</si>
  <si>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</si>
  <si>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</si>
  <si>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</si>
  <si>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</si>
  <si>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</si>
  <si>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</si>
  <si>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</si>
  <si>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</si>
  <si>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</si>
  <si>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</si>
  <si>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</si>
  <si>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</si>
  <si>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</si>
  <si>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</si>
  <si>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</si>
  <si>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</si>
  <si>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</si>
  <si>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</si>
  <si>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</si>
  <si>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</si>
  <si>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</si>
  <si>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</si>
  <si>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</si>
  <si>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</si>
  <si>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</si>
  <si>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</si>
  <si>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</si>
  <si>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</si>
  <si>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</si>
  <si>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</si>
  <si>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</si>
  <si>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</si>
  <si>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</si>
  <si>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</si>
  <si>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</si>
  <si>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</si>
  <si>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</si>
  <si>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</si>
  <si>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</si>
  <si>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</si>
  <si>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</si>
  <si>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</si>
  <si>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</si>
  <si>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</si>
  <si>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</si>
  <si>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</si>
  <si>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</si>
  <si>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</si>
  <si>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</si>
  <si>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</si>
  <si>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</si>
  <si>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</si>
  <si>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</si>
  <si>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</si>
  <si>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</si>
  <si>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</si>
  <si>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</si>
  <si>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</si>
  <si>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</si>
  <si>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</si>
  <si>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</si>
  <si>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</si>
  <si>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</si>
  <si>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</si>
  <si>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</si>
  <si>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</si>
  <si>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</si>
  <si>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</si>
  <si>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</si>
  <si>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</si>
  <si>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</si>
  <si>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</si>
  <si>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</si>
  <si>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</si>
  <si>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</si>
  <si>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</si>
  <si>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</si>
  <si>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</si>
  <si>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</si>
  <si>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</si>
  <si>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</si>
  <si>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</si>
  <si>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</si>
  <si>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</si>
  <si>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</si>
  <si>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</si>
  <si>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</si>
  <si>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</si>
  <si>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</si>
  <si>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</si>
  <si>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</si>
  <si>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</si>
  <si>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</si>
  <si>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</si>
  <si>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</si>
  <si>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</si>
  <si>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</si>
  <si>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</si>
  <si>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</si>
  <si>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</si>
  <si>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</si>
  <si>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</si>
  <si>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</si>
  <si>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</si>
  <si>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</si>
  <si>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</si>
  <si>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</si>
  <si>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</si>
  <si>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</si>
  <si>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</si>
  <si>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</si>
  <si>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</si>
  <si>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</si>
  <si>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</si>
  <si>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</si>
  <si>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</si>
  <si>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</si>
  <si>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</si>
  <si>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</si>
  <si>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</si>
  <si>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</si>
  <si>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</si>
  <si>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</si>
  <si>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</si>
  <si>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</si>
  <si>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</si>
  <si>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</si>
  <si>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</si>
  <si>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</si>
  <si>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</si>
  <si>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</si>
  <si>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</si>
  <si>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</si>
  <si>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</si>
  <si>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</si>
  <si>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</si>
  <si>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</si>
  <si>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</si>
  <si>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</si>
  <si>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</si>
  <si>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</si>
  <si>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</si>
  <si>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</si>
  <si>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</si>
  <si>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</si>
  <si>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</si>
  <si>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</si>
  <si>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</si>
  <si>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</si>
  <si>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</si>
  <si>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</si>
  <si>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</si>
  <si>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</si>
  <si>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</si>
  <si>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</si>
  <si>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</si>
  <si>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</si>
  <si>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</si>
  <si>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</si>
  <si>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</si>
  <si>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</si>
  <si>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</si>
  <si>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</si>
  <si>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</si>
  <si>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</si>
  <si>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</si>
  <si>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</si>
  <si>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</si>
  <si>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</si>
  <si>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</si>
  <si>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</si>
  <si>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</si>
  <si>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</si>
  <si>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</si>
  <si>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</si>
  <si>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</si>
  <si>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</si>
  <si>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</si>
  <si>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</si>
  <si>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</si>
  <si>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</si>
  <si>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</si>
  <si>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</si>
  <si>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</si>
  <si>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</si>
  <si>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</si>
  <si>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</si>
  <si>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</si>
  <si>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</si>
  <si>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</si>
  <si>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</si>
  <si>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</si>
  <si>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</si>
  <si>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</si>
  <si>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</si>
  <si>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</si>
  <si>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</si>
  <si>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</si>
  <si>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</si>
  <si>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</si>
  <si>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</si>
  <si>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</si>
  <si>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</si>
  <si>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</si>
  <si>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</si>
  <si>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</si>
  <si>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</si>
  <si>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</si>
  <si>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</si>
  <si>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</si>
  <si>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</si>
  <si>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</si>
  <si>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</si>
  <si>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</si>
  <si>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</si>
  <si>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</si>
  <si>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</si>
  <si>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</si>
  <si>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</si>
  <si>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</si>
  <si>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</si>
  <si>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</si>
  <si>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</si>
  <si>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</si>
  <si>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</si>
  <si>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</si>
  <si>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</si>
  <si>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</si>
  <si>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</si>
  <si>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</si>
  <si>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</si>
  <si>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</si>
  <si>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</si>
  <si>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</si>
  <si>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</si>
  <si>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</si>
  <si>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</si>
  <si>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</si>
  <si>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</si>
  <si>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</si>
  <si>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</si>
  <si>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</si>
  <si>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</si>
  <si>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</si>
  <si>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</si>
  <si>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</si>
  <si>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</si>
  <si>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</si>
  <si>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</si>
  <si>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</si>
  <si>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</si>
  <si>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</si>
  <si>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</si>
  <si>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</si>
  <si>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</si>
  <si>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</si>
  <si>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</si>
  <si>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</si>
  <si>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</si>
  <si>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</si>
  <si>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</si>
  <si>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</si>
  <si>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</si>
  <si>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</si>
  <si>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</si>
  <si>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</si>
  <si>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</si>
  <si>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</si>
  <si>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</si>
  <si>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</si>
  <si>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</si>
  <si>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</si>
  <si>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</si>
  <si>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</si>
  <si>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</si>
  <si>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</si>
  <si>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</si>
  <si>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</si>
  <si>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</si>
  <si>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</si>
  <si>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</si>
  <si>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</si>
  <si>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</si>
  <si>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</si>
  <si>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</si>
  <si>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</si>
  <si>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</si>
  <si>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</si>
  <si>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</si>
  <si>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</si>
  <si>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</si>
  <si>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</si>
  <si>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</si>
  <si>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</si>
  <si>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</si>
  <si>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</si>
  <si>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</si>
  <si>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</si>
  <si>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</si>
  <si>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</si>
  <si>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</si>
  <si>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</si>
  <si>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</si>
  <si>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</si>
  <si>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</si>
  <si>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</si>
  <si>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</si>
  <si>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</si>
  <si>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</si>
  <si>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</si>
  <si>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</si>
  <si>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</si>
  <si>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</si>
  <si>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</si>
  <si>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</si>
  <si>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</si>
  <si>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</si>
  <si>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</si>
  <si>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</si>
  <si>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</si>
  <si>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</si>
  <si>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</si>
  <si>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</si>
  <si>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</si>
  <si>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</si>
  <si>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</si>
  <si>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</si>
  <si>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</si>
  <si>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</si>
  <si>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</si>
  <si>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</si>
  <si>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</si>
  <si>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</si>
  <si>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</si>
  <si>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</si>
  <si>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</si>
  <si>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</si>
  <si>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</si>
  <si>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</si>
  <si>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</si>
  <si>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</si>
  <si>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</si>
  <si>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</si>
  <si>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</si>
  <si>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</si>
  <si>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</si>
  <si>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</si>
  <si>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</si>
  <si>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</si>
  <si>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</si>
  <si>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</si>
  <si>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</si>
  <si>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</si>
  <si>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</si>
  <si>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</si>
  <si>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</si>
  <si>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</si>
  <si>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</si>
  <si>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</si>
  <si>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</si>
  <si>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</si>
  <si>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</si>
  <si>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</si>
  <si>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</si>
  <si>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</si>
  <si>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</si>
  <si>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</si>
  <si>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</si>
  <si>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</si>
  <si>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</si>
  <si>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</si>
  <si>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</si>
  <si>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</si>
  <si>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</si>
  <si>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</si>
  <si>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</si>
  <si>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</si>
  <si>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</si>
  <si>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</si>
  <si>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</si>
  <si>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</si>
  <si>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</si>
  <si>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</si>
  <si>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</si>
  <si>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</si>
  <si>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</si>
  <si>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</si>
  <si>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</si>
  <si>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</si>
  <si>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</si>
  <si>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</si>
  <si>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</si>
  <si>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</si>
  <si>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</si>
  <si>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</si>
  <si>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</si>
  <si>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</si>
  <si>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</si>
  <si>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</si>
  <si>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</si>
  <si>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</si>
  <si>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</si>
  <si>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</si>
  <si>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</si>
  <si>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</si>
  <si>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</si>
  <si>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</si>
  <si>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</si>
  <si>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</si>
  <si>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Hollis-Brookline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</si>
</sst>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260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1123105.17</v>
      </c>
      <c r="G9" s="18">
        <v>96762.01999999999</v>
      </c>
      <c r="H9" s="18">
        <v>20.07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7992.92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110221.32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18709.330000000002</v>
      </c>
      <c r="G13" s="18">
        <v>9683.41</v>
      </c>
      <c r="H13" s="18">
        <v>149817.46</v>
      </c>
      <c r="I13" s="18"/>
      <c r="J13" s="67">
        <f>SUM(I442)</f>
        <v>287304.21999999997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210</v>
      </c>
      <c r="G14" s="18"/>
      <c r="H14" s="18">
        <v>500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10370.469999999999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24855.1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1285093.8400000001</v>
      </c>
      <c r="G19" s="41">
        <f>SUM(G9:G18)</f>
        <v>116815.9</v>
      </c>
      <c r="H19" s="41">
        <f>SUM(H9:H18)</f>
        <v>150337.53</v>
      </c>
      <c r="I19" s="41">
        <f>SUM(I9:I18)</f>
        <v>0</v>
      </c>
      <c r="J19" s="41">
        <f>SUM(J9:J18)</f>
        <v>287304.21999999997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50517.94</v>
      </c>
      <c r="H22" s="18">
        <v>-13265.73000000001</v>
      </c>
      <c r="I22" s="18"/>
      <c r="J22" s="67">
        <f>SUM(I448)</f>
        <v>72969.11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56618.93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107252.67</v>
      </c>
      <c r="G24" s="18">
        <v>116.25</v>
      </c>
      <c r="H24" s="18">
        <v>517.23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79237.709999999992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200</v>
      </c>
      <c r="G30" s="18">
        <v>22907.77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243309.31</v>
      </c>
      <c r="G32" s="41">
        <f>SUM(G22:G31)</f>
        <v>73541.960000000006</v>
      </c>
      <c r="H32" s="41">
        <f>SUM(H22:H31)</f>
        <v>-12748.500000000011</v>
      </c>
      <c r="I32" s="41">
        <f>SUM(I22:I31)</f>
        <v>0</v>
      </c>
      <c r="J32" s="41">
        <f>SUM(J22:J31)</f>
        <v>72969.11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10370.469999999999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24855.1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>
        <v>32903.47</v>
      </c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260000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152203.09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142000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163086.03</v>
      </c>
      <c r="I48" s="18"/>
      <c r="J48" s="13">
        <f>SUM(I459)</f>
        <v>214335.11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462726.33999999997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1041784.5299999999</v>
      </c>
      <c r="G51" s="41">
        <f>SUM(G35:G50)</f>
        <v>43273.94</v>
      </c>
      <c r="H51" s="41">
        <f>SUM(H35:H50)</f>
        <v>163086.03</v>
      </c>
      <c r="I51" s="41">
        <f>SUM(I35:I50)</f>
        <v>0</v>
      </c>
      <c r="J51" s="41">
        <f>SUM(J35:J50)</f>
        <v>214335.11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1285093.8399999999</v>
      </c>
      <c r="G52" s="41">
        <f>G51+G32</f>
        <v>116815.90000000001</v>
      </c>
      <c r="H52" s="41">
        <f>H51+H32</f>
        <v>150337.53</v>
      </c>
      <c r="I52" s="41">
        <f>I51+I32</f>
        <v>0</v>
      </c>
      <c r="J52" s="41">
        <f>J51+J32</f>
        <v>287304.21999999997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14288861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14288861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9505.61</v>
      </c>
      <c r="G96" s="18">
        <v>54.28</v>
      </c>
      <c r="H96" s="18"/>
      <c r="I96" s="18"/>
      <c r="J96" s="18">
        <v>1912.42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375038.82000000007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66132.5</v>
      </c>
      <c r="G98" s="24" t="s">
        <v>286</v>
      </c>
      <c r="H98" s="18">
        <v>252203.86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2643.75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23995.65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1931.39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104208.90000000001</v>
      </c>
      <c r="G111" s="41">
        <f>SUM(G96:G110)</f>
        <v>375093.10000000009</v>
      </c>
      <c r="H111" s="41">
        <f>SUM(H96:H110)</f>
        <v>252203.86</v>
      </c>
      <c r="I111" s="41">
        <f>SUM(I96:I110)</f>
        <v>0</v>
      </c>
      <c r="J111" s="41">
        <f>SUM(J96:J110)</f>
        <v>1912.42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14393069.9</v>
      </c>
      <c r="G112" s="41">
        <f>G60+G111</f>
        <v>375093.10000000009</v>
      </c>
      <c r="H112" s="41">
        <f>H60+H79+H94+H111</f>
        <v>252203.86</v>
      </c>
      <c r="I112" s="41">
        <f>I60+I111</f>
        <v>0</v>
      </c>
      <c r="J112" s="41">
        <f>J60+J111</f>
        <v>1912.42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3168919.99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2138804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5309639.8500000006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173361.94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577614.72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10452.5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3155.53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761429.15999999992</v>
      </c>
      <c r="G136" s="41">
        <f>SUM(G123:G135)</f>
        <v>3155.53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6071069.0100000007</v>
      </c>
      <c r="G140" s="41">
        <f>G121+SUM(G136:G137)</f>
        <v>3155.53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>
        <v>14583.9</v>
      </c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14583.9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11799.95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33187.119999999995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240594.51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149429.93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149429.93</v>
      </c>
      <c r="G162" s="41">
        <f>SUM(G150:G161)</f>
        <v>33187.119999999995</v>
      </c>
      <c r="H162" s="41">
        <f>SUM(H150:H161)</f>
        <v>252394.46000000002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149429.93</v>
      </c>
      <c r="G169" s="41">
        <f>G147+G162+SUM(G163:G168)</f>
        <v>47771.02</v>
      </c>
      <c r="H169" s="41">
        <f>H147+H162+SUM(H163:H168)</f>
        <v>252394.46000000002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187000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187000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4115.91</v>
      </c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4115.91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4115.91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187000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20617684.75</v>
      </c>
      <c r="G193" s="47">
        <f>G112+G140+G169+G192</f>
        <v>426019.65000000014</v>
      </c>
      <c r="H193" s="47">
        <f>H112+H140+H169+H192</f>
        <v>504598.32</v>
      </c>
      <c r="I193" s="47">
        <f>I112+I140+I169+I192</f>
        <v>0</v>
      </c>
      <c r="J193" s="47">
        <f>J112+J140+J192</f>
        <v>188912.42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1827760.55</v>
      </c>
      <c r="G215" s="18">
        <v>886688.63</v>
      </c>
      <c r="H215" s="18">
        <v>4569.33</v>
      </c>
      <c r="I215" s="18">
        <v>56723.44999999999</v>
      </c>
      <c r="J215" s="18">
        <v>1616.14</v>
      </c>
      <c r="K215" s="18">
        <v>1530.5</v>
      </c>
      <c r="L215" s="19">
        <f>SUM(F215:K215)</f>
        <v>2778888.6000000006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522425.61</v>
      </c>
      <c r="G216" s="18">
        <v>253440.67</v>
      </c>
      <c r="H216" s="18">
        <v>181757.51</v>
      </c>
      <c r="I216" s="18">
        <v>36502.65</v>
      </c>
      <c r="J216" s="18">
        <v>17936.93</v>
      </c>
      <c r="K216" s="18">
        <v>592.5</v>
      </c>
      <c r="L216" s="19">
        <f>SUM(F216:K216)</f>
        <v>1012655.8700000001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69157.5</v>
      </c>
      <c r="G218" s="18">
        <v>33549.89</v>
      </c>
      <c r="H218" s="18">
        <v>10565.16</v>
      </c>
      <c r="I218" s="18">
        <v>7675.17</v>
      </c>
      <c r="J218" s="18">
        <v>4286.12</v>
      </c>
      <c r="K218" s="18">
        <v>1581</v>
      </c>
      <c r="L218" s="19">
        <f>SUM(F218:K218)</f>
        <v>126814.84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321015.67000000004</v>
      </c>
      <c r="G220" s="18">
        <v>155732.07999999999</v>
      </c>
      <c r="H220" s="18">
        <v>96676.85</v>
      </c>
      <c r="I220" s="18">
        <v>9757.82</v>
      </c>
      <c r="J220" s="18">
        <v>0</v>
      </c>
      <c r="K220" s="18">
        <v>0</v>
      </c>
      <c r="L220" s="19">
        <f t="shared" ref="L220:L226" si="2">SUM(F220:K220)</f>
        <v>583182.41999999993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128277.67</v>
      </c>
      <c r="G221" s="18">
        <v>100285.75000000001</v>
      </c>
      <c r="H221" s="18">
        <v>331.25</v>
      </c>
      <c r="I221" s="18">
        <v>9535.4800000000014</v>
      </c>
      <c r="J221" s="18">
        <v>22488.38</v>
      </c>
      <c r="K221" s="18">
        <v>0</v>
      </c>
      <c r="L221" s="19">
        <f t="shared" si="2"/>
        <v>260918.53000000003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312420.84000000003</v>
      </c>
      <c r="I222" s="18">
        <v>510.3</v>
      </c>
      <c r="J222" s="18">
        <v>0</v>
      </c>
      <c r="K222" s="18">
        <v>1660.36</v>
      </c>
      <c r="L222" s="19">
        <f t="shared" si="2"/>
        <v>314591.5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279853.34999999998</v>
      </c>
      <c r="G223" s="18">
        <v>135763.29</v>
      </c>
      <c r="H223" s="18">
        <v>48217.150000000009</v>
      </c>
      <c r="I223" s="18">
        <v>37105.81</v>
      </c>
      <c r="J223" s="18">
        <v>2109.1</v>
      </c>
      <c r="K223" s="18">
        <v>1039.82</v>
      </c>
      <c r="L223" s="19">
        <f t="shared" si="2"/>
        <v>504088.52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649.41999999999996</v>
      </c>
      <c r="L224" s="19">
        <f t="shared" si="2"/>
        <v>649.41999999999996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172023.72</v>
      </c>
      <c r="G225" s="18">
        <v>83510.260000000009</v>
      </c>
      <c r="H225" s="18">
        <v>128736.79</v>
      </c>
      <c r="I225" s="18">
        <v>121385.53</v>
      </c>
      <c r="J225" s="18">
        <v>1388.55</v>
      </c>
      <c r="K225" s="18">
        <v>19702.57</v>
      </c>
      <c r="L225" s="19">
        <f t="shared" si="2"/>
        <v>526747.42000000004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282277.78000000003</v>
      </c>
      <c r="I226" s="18">
        <v>28339.35</v>
      </c>
      <c r="J226" s="18">
        <v>9538.56</v>
      </c>
      <c r="K226" s="18">
        <v>0</v>
      </c>
      <c r="L226" s="19">
        <f t="shared" si="2"/>
        <v>320155.69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3320514.0700000003</v>
      </c>
      <c r="G229" s="41">
        <f>SUM(G215:G228)</f>
        <v>1648970.57</v>
      </c>
      <c r="H229" s="41">
        <f>SUM(H215:H228)</f>
        <v>1065552.6600000001</v>
      </c>
      <c r="I229" s="41">
        <f>SUM(I215:I228)</f>
        <v>307535.55999999994</v>
      </c>
      <c r="J229" s="41">
        <f>SUM(J215:J228)</f>
        <v>59363.78</v>
      </c>
      <c r="K229" s="41">
        <f t="shared" si="3"/>
        <v>26756.17</v>
      </c>
      <c r="L229" s="41">
        <f t="shared" si="3"/>
        <v>6428692.8100000015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3410528.3699999996</v>
      </c>
      <c r="G233" s="18">
        <v>1488224.85</v>
      </c>
      <c r="H233" s="18">
        <v>4542.16</v>
      </c>
      <c r="I233" s="18">
        <v>193275.05000000002</v>
      </c>
      <c r="J233" s="18">
        <v>21192.799999999999</v>
      </c>
      <c r="K233" s="18">
        <v>3482</v>
      </c>
      <c r="L233" s="19">
        <f>SUM(F233:K233)</f>
        <v>5121245.2299999995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1098486.1699999997</v>
      </c>
      <c r="G234" s="18">
        <v>479337.58</v>
      </c>
      <c r="H234" s="18">
        <v>1558711.28</v>
      </c>
      <c r="I234" s="18">
        <v>45243.43</v>
      </c>
      <c r="J234" s="18">
        <v>13815.34</v>
      </c>
      <c r="K234" s="18">
        <v>762.5</v>
      </c>
      <c r="L234" s="19">
        <f>SUM(F234:K234)</f>
        <v>3196356.3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23602.77</v>
      </c>
      <c r="I235" s="18">
        <v>0</v>
      </c>
      <c r="J235" s="18">
        <v>0</v>
      </c>
      <c r="K235" s="18">
        <v>0</v>
      </c>
      <c r="L235" s="19">
        <f>SUM(F235:K235)</f>
        <v>23602.77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396273.28</v>
      </c>
      <c r="G236" s="18">
        <v>176636.44</v>
      </c>
      <c r="H236" s="18">
        <v>83047.940000000017</v>
      </c>
      <c r="I236" s="18">
        <v>13359.34</v>
      </c>
      <c r="J236" s="18">
        <v>17871.23</v>
      </c>
      <c r="K236" s="18">
        <v>24488.400000000001</v>
      </c>
      <c r="L236" s="19">
        <f>SUM(F236:K236)</f>
        <v>711676.63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736181.61</v>
      </c>
      <c r="G238" s="18">
        <v>321241.65000000002</v>
      </c>
      <c r="H238" s="18">
        <v>114614.69</v>
      </c>
      <c r="I238" s="18">
        <v>9528.5400000000009</v>
      </c>
      <c r="J238" s="18">
        <v>0</v>
      </c>
      <c r="K238" s="18">
        <v>1125</v>
      </c>
      <c r="L238" s="19">
        <f t="shared" ref="L238:L244" si="4">SUM(F238:K238)</f>
        <v>1182691.49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211740.64</v>
      </c>
      <c r="G239" s="18">
        <v>171429.2</v>
      </c>
      <c r="H239" s="18">
        <v>1304.68</v>
      </c>
      <c r="I239" s="18">
        <v>24853.71</v>
      </c>
      <c r="J239" s="18">
        <v>36742.800000000003</v>
      </c>
      <c r="K239" s="18">
        <v>65</v>
      </c>
      <c r="L239" s="19">
        <f t="shared" si="4"/>
        <v>446136.03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555414.81999999995</v>
      </c>
      <c r="I240" s="18">
        <v>907.2</v>
      </c>
      <c r="J240" s="18">
        <v>0</v>
      </c>
      <c r="K240" s="18">
        <v>2951.76</v>
      </c>
      <c r="L240" s="19">
        <f t="shared" si="4"/>
        <v>559273.77999999991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410966.9</v>
      </c>
      <c r="G241" s="18">
        <v>179330.32</v>
      </c>
      <c r="H241" s="18">
        <v>78984.97</v>
      </c>
      <c r="I241" s="18">
        <v>62728.53</v>
      </c>
      <c r="J241" s="18">
        <v>169.99</v>
      </c>
      <c r="K241" s="18">
        <v>15461.84</v>
      </c>
      <c r="L241" s="19">
        <f t="shared" si="4"/>
        <v>747642.54999999993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1154.52</v>
      </c>
      <c r="L242" s="19">
        <f t="shared" si="4"/>
        <v>1154.52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308277.61</v>
      </c>
      <c r="G243" s="18">
        <v>134623.01999999999</v>
      </c>
      <c r="H243" s="18">
        <v>208071.34</v>
      </c>
      <c r="I243" s="18">
        <v>219803.38</v>
      </c>
      <c r="J243" s="18">
        <v>398</v>
      </c>
      <c r="K243" s="18">
        <v>35026.800000000003</v>
      </c>
      <c r="L243" s="19">
        <f t="shared" si="4"/>
        <v>906200.15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747784.03</v>
      </c>
      <c r="I244" s="18">
        <v>31320.929999999997</v>
      </c>
      <c r="J244" s="18">
        <v>16957.439999999999</v>
      </c>
      <c r="K244" s="18">
        <v>0</v>
      </c>
      <c r="L244" s="19">
        <f t="shared" si="4"/>
        <v>796062.4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6572454.5800000001</v>
      </c>
      <c r="G247" s="41">
        <f t="shared" si="5"/>
        <v>2950823.06</v>
      </c>
      <c r="H247" s="41">
        <f t="shared" si="5"/>
        <v>3376078.6799999997</v>
      </c>
      <c r="I247" s="41">
        <f t="shared" si="5"/>
        <v>601020.1100000001</v>
      </c>
      <c r="J247" s="41">
        <f t="shared" si="5"/>
        <v>107147.6</v>
      </c>
      <c r="K247" s="41">
        <f t="shared" si="5"/>
        <v>84517.82</v>
      </c>
      <c r="L247" s="41">
        <f t="shared" si="5"/>
        <v>13692041.85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30097.61</v>
      </c>
      <c r="K255" s="18">
        <v>0</v>
      </c>
      <c r="L255" s="19">
        <f t="shared" si="6"/>
        <v>30097.61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30097.61</v>
      </c>
      <c r="K256" s="41">
        <f t="shared" si="7"/>
        <v>0</v>
      </c>
      <c r="L256" s="41">
        <f>SUM(F256:K256)</f>
        <v>30097.61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9892968.6500000004</v>
      </c>
      <c r="G257" s="41">
        <f t="shared" si="8"/>
        <v>4599793.63</v>
      </c>
      <c r="H257" s="41">
        <f t="shared" si="8"/>
        <v>4441631.34</v>
      </c>
      <c r="I257" s="41">
        <f t="shared" si="8"/>
        <v>908555.67</v>
      </c>
      <c r="J257" s="41">
        <f t="shared" si="8"/>
        <v>196608.99</v>
      </c>
      <c r="K257" s="41">
        <f t="shared" si="8"/>
        <v>111273.99</v>
      </c>
      <c r="L257" s="41">
        <f t="shared" si="8"/>
        <v>20150832.27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420000</v>
      </c>
      <c r="L260" s="19">
        <f>SUM(F260:K260)</f>
        <v>420000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177367</v>
      </c>
      <c r="L261" s="19">
        <f>SUM(F261:K261)</f>
        <v>177367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187000</v>
      </c>
      <c r="L266" s="19">
        <f t="shared" si="9"/>
        <v>187000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784367</v>
      </c>
      <c r="L270" s="41">
        <f t="shared" si="9"/>
        <v>784367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9892968.6500000004</v>
      </c>
      <c r="G271" s="42">
        <f t="shared" si="11"/>
        <v>4599793.63</v>
      </c>
      <c r="H271" s="42">
        <f t="shared" si="11"/>
        <v>4441631.34</v>
      </c>
      <c r="I271" s="42">
        <f t="shared" si="11"/>
        <v>908555.67</v>
      </c>
      <c r="J271" s="42">
        <f t="shared" si="11"/>
        <v>196608.99</v>
      </c>
      <c r="K271" s="42">
        <f t="shared" si="11"/>
        <v>895640.99</v>
      </c>
      <c r="L271" s="42">
        <f t="shared" si="11"/>
        <v>20935199.27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233600.14</v>
      </c>
      <c r="G315" s="18"/>
      <c r="H315" s="18"/>
      <c r="I315" s="18">
        <v>4994.37</v>
      </c>
      <c r="J315" s="18"/>
      <c r="K315" s="18"/>
      <c r="L315" s="19">
        <f>SUM(F315:K315)</f>
        <v>238594.51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>
        <v>228913.13</v>
      </c>
      <c r="I317" s="18"/>
      <c r="J317" s="18"/>
      <c r="K317" s="18"/>
      <c r="L317" s="19">
        <f>SUM(F317:K317)</f>
        <v>228913.13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6760</v>
      </c>
      <c r="I319" s="18"/>
      <c r="J319" s="18"/>
      <c r="K319" s="18"/>
      <c r="L319" s="19">
        <f t="shared" ref="L319:L325" si="16">SUM(F319:K319)</f>
        <v>6760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800</v>
      </c>
      <c r="G320" s="18"/>
      <c r="H320" s="18">
        <v>4239.95</v>
      </c>
      <c r="I320" s="18"/>
      <c r="J320" s="18"/>
      <c r="K320" s="18"/>
      <c r="L320" s="19">
        <f t="shared" si="16"/>
        <v>5039.95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234400.14</v>
      </c>
      <c r="G328" s="42">
        <f t="shared" si="17"/>
        <v>0</v>
      </c>
      <c r="H328" s="42">
        <f t="shared" si="17"/>
        <v>239913.08000000002</v>
      </c>
      <c r="I328" s="42">
        <f t="shared" si="17"/>
        <v>4994.37</v>
      </c>
      <c r="J328" s="42">
        <f t="shared" si="17"/>
        <v>0</v>
      </c>
      <c r="K328" s="42">
        <f t="shared" si="17"/>
        <v>0</v>
      </c>
      <c r="L328" s="41">
        <f t="shared" si="17"/>
        <v>479307.59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234400.14</v>
      </c>
      <c r="G338" s="41">
        <f t="shared" si="20"/>
        <v>0</v>
      </c>
      <c r="H338" s="41">
        <f t="shared" si="20"/>
        <v>239913.08000000002</v>
      </c>
      <c r="I338" s="41">
        <f t="shared" si="20"/>
        <v>4994.37</v>
      </c>
      <c r="J338" s="41">
        <f t="shared" si="20"/>
        <v>0</v>
      </c>
      <c r="K338" s="41">
        <f t="shared" si="20"/>
        <v>0</v>
      </c>
      <c r="L338" s="41">
        <f t="shared" si="20"/>
        <v>479307.59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2000</v>
      </c>
      <c r="L344" s="19">
        <f t="shared" ref="L344:L350" si="21">SUM(F344:K344)</f>
        <v>2000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2000</v>
      </c>
      <c r="L351" s="41">
        <f>SUM(L341:L350)</f>
        <v>2000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234400.14</v>
      </c>
      <c r="G352" s="41">
        <f>G338</f>
        <v>0</v>
      </c>
      <c r="H352" s="41">
        <f>H338</f>
        <v>239913.08000000002</v>
      </c>
      <c r="I352" s="41">
        <f>I338</f>
        <v>4994.37</v>
      </c>
      <c r="J352" s="41">
        <f>J338</f>
        <v>0</v>
      </c>
      <c r="K352" s="47">
        <f>K338+K351</f>
        <v>2000</v>
      </c>
      <c r="L352" s="41">
        <f>L338+L351</f>
        <v>481307.59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67320.639999999999</v>
      </c>
      <c r="G359" s="18">
        <v>1440</v>
      </c>
      <c r="H359" s="18">
        <v>804.49</v>
      </c>
      <c r="I359" s="18">
        <v>71027.820000000007</v>
      </c>
      <c r="J359" s="18">
        <v>0</v>
      </c>
      <c r="K359" s="18">
        <v>72</v>
      </c>
      <c r="L359" s="19">
        <f>SUM(F359:K359)</f>
        <v>140664.95000000001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93074.16</v>
      </c>
      <c r="G360" s="18">
        <v>2560</v>
      </c>
      <c r="H360" s="18">
        <v>2867.69</v>
      </c>
      <c r="I360" s="18">
        <v>160159.87</v>
      </c>
      <c r="J360" s="18">
        <v>0</v>
      </c>
      <c r="K360" s="18">
        <v>128</v>
      </c>
      <c r="L360" s="19">
        <f>SUM(F360:K360)</f>
        <v>258789.72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160394.79999999999</v>
      </c>
      <c r="G362" s="47">
        <f t="shared" si="22"/>
        <v>4000</v>
      </c>
      <c r="H362" s="47">
        <f t="shared" si="22"/>
        <v>3672.1800000000003</v>
      </c>
      <c r="I362" s="47">
        <f t="shared" si="22"/>
        <v>231187.69</v>
      </c>
      <c r="J362" s="47">
        <f t="shared" si="22"/>
        <v>0</v>
      </c>
      <c r="K362" s="47">
        <f t="shared" si="22"/>
        <v>200</v>
      </c>
      <c r="L362" s="47">
        <f t="shared" si="22"/>
        <v>399454.67000000004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>
        <v>62758.360000000008</v>
      </c>
      <c r="H367" s="18">
        <v>145594.32999999999</v>
      </c>
      <c r="I367" s="56">
        <f>SUM(F367:H367)</f>
        <v>208352.69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>
        <v>8269.4600000000009</v>
      </c>
      <c r="H368" s="63">
        <v>14565.54</v>
      </c>
      <c r="I368" s="56">
        <f>SUM(F368:H368)</f>
        <v>22835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71027.820000000007</v>
      </c>
      <c r="H369" s="47">
        <f>SUM(H367:H368)</f>
        <v>160159.87</v>
      </c>
      <c r="I369" s="47">
        <f>SUM(I367:I368)</f>
        <v>231187.69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187000</v>
      </c>
      <c r="H396" s="18">
        <v>1912.42</v>
      </c>
      <c r="I396" s="18"/>
      <c r="J396" s="24" t="s">
        <v>286</v>
      </c>
      <c r="K396" s="24" t="s">
        <v>286</v>
      </c>
      <c r="L396" s="56">
        <f t="shared" si="26"/>
        <v>188912.42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187000</v>
      </c>
      <c r="H401" s="47">
        <f>SUM(H395:H400)</f>
        <v>1912.42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188912.42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187000</v>
      </c>
      <c r="H408" s="47">
        <f>H393+H401+H407</f>
        <v>1912.42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188912.42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30837.62</v>
      </c>
      <c r="I426" s="18">
        <v>14564.92</v>
      </c>
      <c r="J426" s="18">
        <v>24451.67</v>
      </c>
      <c r="K426" s="18"/>
      <c r="L426" s="56">
        <f t="shared" si="29"/>
        <v>69854.209999999992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30837.62</v>
      </c>
      <c r="I427" s="47">
        <f t="shared" si="30"/>
        <v>14564.92</v>
      </c>
      <c r="J427" s="47">
        <f t="shared" si="30"/>
        <v>24451.67</v>
      </c>
      <c r="K427" s="47">
        <f t="shared" si="30"/>
        <v>0</v>
      </c>
      <c r="L427" s="47">
        <f t="shared" si="30"/>
        <v>69854.209999999992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30837.62</v>
      </c>
      <c r="I434" s="47">
        <f t="shared" si="32"/>
        <v>14564.92</v>
      </c>
      <c r="J434" s="47">
        <f t="shared" si="32"/>
        <v>24451.67</v>
      </c>
      <c r="K434" s="47">
        <f t="shared" si="32"/>
        <v>0</v>
      </c>
      <c r="L434" s="47">
        <f t="shared" si="32"/>
        <v>69854.209999999992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287304.21999999997</v>
      </c>
      <c r="H442" s="18"/>
      <c r="I442" s="56">
        <f t="shared" si="33"/>
        <v>287304.21999999997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287304.21999999997</v>
      </c>
      <c r="H446" s="13">
        <f>SUM(H439:H445)</f>
        <v>0</v>
      </c>
      <c r="I446" s="13">
        <f>SUM(I439:I445)</f>
        <v>287304.21999999997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72969.11</v>
      </c>
      <c r="H448" s="18"/>
      <c r="I448" s="56">
        <f>SUM(F448:H448)</f>
        <v>72969.11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72969.11</v>
      </c>
      <c r="H452" s="72">
        <f>SUM(H448:H451)</f>
        <v>0</v>
      </c>
      <c r="I452" s="72">
        <f>SUM(I448:I451)</f>
        <v>72969.11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214335.11</v>
      </c>
      <c r="H459" s="18"/>
      <c r="I459" s="56">
        <f t="shared" si="34"/>
        <v>214335.11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214335.11</v>
      </c>
      <c r="H460" s="83">
        <f>SUM(H454:H459)</f>
        <v>0</v>
      </c>
      <c r="I460" s="83">
        <f>SUM(I454:I459)</f>
        <v>214335.11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287304.21999999997</v>
      </c>
      <c r="H461" s="42">
        <f>H452+H460</f>
        <v>0</v>
      </c>
      <c r="I461" s="42">
        <f>I452+I460</f>
        <v>287304.21999999997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1359299.05</v>
      </c>
      <c r="G465" s="18">
        <v>16708.96</v>
      </c>
      <c r="H465" s="18">
        <v>139795.29999999999</v>
      </c>
      <c r="I465" s="18">
        <v>0</v>
      </c>
      <c r="J465" s="18">
        <v>95276.9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20617684.75</v>
      </c>
      <c r="G468" s="18">
        <v>426019.65</v>
      </c>
      <c r="H468" s="18">
        <v>504598.32</v>
      </c>
      <c r="I468" s="18"/>
      <c r="J468" s="18">
        <v>188912.42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20617684.75</v>
      </c>
      <c r="G470" s="53">
        <f>SUM(G468:G469)</f>
        <v>426019.65</v>
      </c>
      <c r="H470" s="53">
        <f>SUM(H468:H469)</f>
        <v>504598.32</v>
      </c>
      <c r="I470" s="53">
        <f>SUM(I468:I469)</f>
        <v>0</v>
      </c>
      <c r="J470" s="53">
        <f>SUM(J468:J469)</f>
        <v>188912.42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20935199.27</v>
      </c>
      <c r="G472" s="18">
        <v>399454.67</v>
      </c>
      <c r="H472" s="18">
        <v>481307.59</v>
      </c>
      <c r="I472" s="18"/>
      <c r="J472" s="18">
        <v>69854.210000000006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20935199.27</v>
      </c>
      <c r="G474" s="53">
        <f>SUM(G472:G473)</f>
        <v>399454.67</v>
      </c>
      <c r="H474" s="53">
        <f>SUM(H472:H473)</f>
        <v>481307.59</v>
      </c>
      <c r="I474" s="53">
        <f>SUM(I472:I473)</f>
        <v>0</v>
      </c>
      <c r="J474" s="53">
        <f>SUM(J472:J473)</f>
        <v>69854.210000000006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1041784.5300000012</v>
      </c>
      <c r="G476" s="53">
        <f>(G465+G470)- G474</f>
        <v>43273.940000000061</v>
      </c>
      <c r="H476" s="53">
        <f>(H465+H470)- H474</f>
        <v>163086.02999999997</v>
      </c>
      <c r="I476" s="53">
        <f>(I465+I470)- I474</f>
        <v>0</v>
      </c>
      <c r="J476" s="53">
        <f>(J465+J470)- J474</f>
        <v>214335.11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7703400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4010000</v>
      </c>
      <c r="G495" s="18"/>
      <c r="H495" s="18"/>
      <c r="I495" s="18"/>
      <c r="J495" s="18"/>
      <c r="K495" s="53">
        <f>SUM(F495:J495)</f>
        <v>4010000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420000</v>
      </c>
      <c r="G497" s="18"/>
      <c r="H497" s="18"/>
      <c r="I497" s="18"/>
      <c r="J497" s="18"/>
      <c r="K497" s="53">
        <f t="shared" si="35"/>
        <v>420000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3590000</v>
      </c>
      <c r="G498" s="204"/>
      <c r="H498" s="204"/>
      <c r="I498" s="204"/>
      <c r="J498" s="204"/>
      <c r="K498" s="205">
        <f t="shared" si="35"/>
        <v>3590000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584780</v>
      </c>
      <c r="G499" s="18"/>
      <c r="H499" s="18"/>
      <c r="I499" s="18"/>
      <c r="J499" s="18"/>
      <c r="K499" s="53">
        <f t="shared" si="35"/>
        <v>584780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4174780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4174780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440000</v>
      </c>
      <c r="G501" s="204"/>
      <c r="H501" s="204"/>
      <c r="I501" s="204"/>
      <c r="J501" s="204"/>
      <c r="K501" s="205">
        <f t="shared" si="35"/>
        <v>440000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155867</v>
      </c>
      <c r="G502" s="18"/>
      <c r="H502" s="18"/>
      <c r="I502" s="18"/>
      <c r="J502" s="18"/>
      <c r="K502" s="53">
        <f t="shared" si="35"/>
        <v>155867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595867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595867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490389.14999999997</v>
      </c>
      <c r="G522" s="18">
        <v>98077.83</v>
      </c>
      <c r="H522" s="18">
        <v>183461.76000000001</v>
      </c>
      <c r="I522" s="18">
        <v>42797.9</v>
      </c>
      <c r="J522" s="18">
        <v>17936.93</v>
      </c>
      <c r="K522" s="18">
        <v>592.5</v>
      </c>
      <c r="L522" s="88">
        <f>SUM(F522:K522)</f>
        <v>833256.07000000007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906442.33</v>
      </c>
      <c r="G523" s="18">
        <v>181288.46600000001</v>
      </c>
      <c r="H523" s="18">
        <v>1568204.81</v>
      </c>
      <c r="I523" s="18">
        <v>44850.74</v>
      </c>
      <c r="J523" s="18">
        <v>13815.34</v>
      </c>
      <c r="K523" s="18">
        <v>762.5</v>
      </c>
      <c r="L523" s="88">
        <f>SUM(F523:K523)</f>
        <v>2715364.1860000002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1396831.48</v>
      </c>
      <c r="G524" s="108">
        <f t="shared" ref="G524:L524" si="36">SUM(G521:G523)</f>
        <v>279366.29600000003</v>
      </c>
      <c r="H524" s="108">
        <f t="shared" si="36"/>
        <v>1751666.57</v>
      </c>
      <c r="I524" s="108">
        <f t="shared" si="36"/>
        <v>87648.639999999999</v>
      </c>
      <c r="J524" s="108">
        <f t="shared" si="36"/>
        <v>31752.27</v>
      </c>
      <c r="K524" s="108">
        <f t="shared" si="36"/>
        <v>1355</v>
      </c>
      <c r="L524" s="89">
        <f t="shared" si="36"/>
        <v>3548620.2560000001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76706.740000000005</v>
      </c>
      <c r="G527" s="18">
        <v>15341.348000000002</v>
      </c>
      <c r="H527" s="18">
        <v>59769.75</v>
      </c>
      <c r="I527" s="18"/>
      <c r="J527" s="18"/>
      <c r="K527" s="18"/>
      <c r="L527" s="88">
        <f>SUM(F527:K527)</f>
        <v>151817.83799999999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292729.57</v>
      </c>
      <c r="G528" s="18">
        <v>58545.914000000004</v>
      </c>
      <c r="H528" s="18">
        <v>42939.54</v>
      </c>
      <c r="I528" s="18"/>
      <c r="J528" s="18"/>
      <c r="K528" s="18"/>
      <c r="L528" s="88">
        <f>SUM(F528:K528)</f>
        <v>394215.02399999998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369436.31</v>
      </c>
      <c r="G529" s="89">
        <f t="shared" ref="G529:L529" si="37">SUM(G526:G528)</f>
        <v>73887.262000000002</v>
      </c>
      <c r="H529" s="89">
        <f t="shared" si="37"/>
        <v>102709.29000000001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546032.86199999996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29110.06</v>
      </c>
      <c r="G532" s="18">
        <v>5822.0120000000006</v>
      </c>
      <c r="H532" s="18"/>
      <c r="I532" s="18"/>
      <c r="J532" s="18"/>
      <c r="K532" s="18"/>
      <c r="L532" s="88">
        <f>SUM(F532:K532)</f>
        <v>34932.072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76906.23</v>
      </c>
      <c r="G533" s="18">
        <v>15381.245999999999</v>
      </c>
      <c r="H533" s="18"/>
      <c r="I533" s="18"/>
      <c r="J533" s="18"/>
      <c r="K533" s="18"/>
      <c r="L533" s="88">
        <f>SUM(F533:K533)</f>
        <v>92287.475999999995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106016.29</v>
      </c>
      <c r="G534" s="89">
        <f t="shared" ref="G534:L534" si="38">SUM(G531:G533)</f>
        <v>21203.258000000002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127219.548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6191.58</v>
      </c>
      <c r="I537" s="18"/>
      <c r="J537" s="18"/>
      <c r="K537" s="18"/>
      <c r="L537" s="88">
        <f>SUM(F537:K537)</f>
        <v>6191.58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11007.26</v>
      </c>
      <c r="I538" s="18"/>
      <c r="J538" s="18"/>
      <c r="K538" s="18"/>
      <c r="L538" s="88">
        <f>SUM(F538:K538)</f>
        <v>11007.26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17198.84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17198.84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48045.64</v>
      </c>
      <c r="I542" s="18"/>
      <c r="J542" s="18"/>
      <c r="K542" s="18"/>
      <c r="L542" s="88">
        <f>SUM(F542:K542)</f>
        <v>48045.64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290496.93</v>
      </c>
      <c r="I543" s="18"/>
      <c r="J543" s="18"/>
      <c r="K543" s="18"/>
      <c r="L543" s="88">
        <f>SUM(F543:K543)</f>
        <v>290496.93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338542.57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338542.57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1872284.08</v>
      </c>
      <c r="G545" s="89">
        <f t="shared" ref="G545:L545" si="41">G524+G529+G534+G539+G544</f>
        <v>374456.81599999999</v>
      </c>
      <c r="H545" s="89">
        <f t="shared" si="41"/>
        <v>2210117.27</v>
      </c>
      <c r="I545" s="89">
        <f t="shared" si="41"/>
        <v>87648.639999999999</v>
      </c>
      <c r="J545" s="89">
        <f t="shared" si="41"/>
        <v>31752.27</v>
      </c>
      <c r="K545" s="89">
        <f t="shared" si="41"/>
        <v>1355</v>
      </c>
      <c r="L545" s="89">
        <f t="shared" si="41"/>
        <v>4577614.0760000004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833256.07000000007</v>
      </c>
      <c r="G550" s="87">
        <f>L527</f>
        <v>151817.83799999999</v>
      </c>
      <c r="H550" s="87">
        <f>L532</f>
        <v>34932.072</v>
      </c>
      <c r="I550" s="87">
        <f>L537</f>
        <v>6191.58</v>
      </c>
      <c r="J550" s="87">
        <f>L542</f>
        <v>48045.64</v>
      </c>
      <c r="K550" s="87">
        <f>SUM(F550:J550)</f>
        <v>1074243.2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2715364.1860000002</v>
      </c>
      <c r="G551" s="87">
        <f>L528</f>
        <v>394215.02399999998</v>
      </c>
      <c r="H551" s="87">
        <f>L533</f>
        <v>92287.475999999995</v>
      </c>
      <c r="I551" s="87">
        <f>L538</f>
        <v>11007.26</v>
      </c>
      <c r="J551" s="87">
        <f>L543</f>
        <v>290496.93</v>
      </c>
      <c r="K551" s="87">
        <f>SUM(F551:J551)</f>
        <v>3503370.8759999997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3548620.2560000001</v>
      </c>
      <c r="G552" s="89">
        <f t="shared" si="42"/>
        <v>546032.86199999996</v>
      </c>
      <c r="H552" s="89">
        <f t="shared" si="42"/>
        <v>127219.548</v>
      </c>
      <c r="I552" s="89">
        <f t="shared" si="42"/>
        <v>17198.84</v>
      </c>
      <c r="J552" s="89">
        <f t="shared" si="42"/>
        <v>338542.57</v>
      </c>
      <c r="K552" s="89">
        <f t="shared" si="42"/>
        <v>4577614.0759999994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111309.42</v>
      </c>
      <c r="H582" s="18">
        <v>331729.42</v>
      </c>
      <c r="I582" s="87">
        <f t="shared" si="47"/>
        <v>443038.83999999997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674574.42</v>
      </c>
      <c r="I583" s="87">
        <f t="shared" si="47"/>
        <v>674574.42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23602.77</v>
      </c>
      <c r="I584" s="87">
        <f t="shared" si="47"/>
        <v>23602.77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>
        <v>268829.84999999998</v>
      </c>
      <c r="J591" s="18">
        <v>285649.58</v>
      </c>
      <c r="K591" s="104">
        <f t="shared" ref="K591:K597" si="48">SUM(H591:J591)</f>
        <v>554479.42999999993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>
        <v>48045.64</v>
      </c>
      <c r="J592" s="18">
        <v>290496.93</v>
      </c>
      <c r="K592" s="104">
        <f t="shared" si="48"/>
        <v>338542.57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>
        <v>0</v>
      </c>
      <c r="J593" s="18">
        <v>162044.70000000001</v>
      </c>
      <c r="K593" s="104">
        <f t="shared" si="48"/>
        <v>162044.70000000001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3280.2</v>
      </c>
      <c r="J594" s="18">
        <v>57076.19</v>
      </c>
      <c r="K594" s="104">
        <f t="shared" si="48"/>
        <v>60356.39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0</v>
      </c>
      <c r="J595" s="18">
        <v>795</v>
      </c>
      <c r="K595" s="104">
        <f t="shared" si="48"/>
        <v>795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320155.69</v>
      </c>
      <c r="J598" s="108">
        <f>SUM(J591:J597)</f>
        <v>796062.39999999991</v>
      </c>
      <c r="K598" s="108">
        <f>SUM(K591:K597)</f>
        <v>1116218.0899999999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>
        <v>55783.06</v>
      </c>
      <c r="J604" s="18">
        <v>110728.32000000001</v>
      </c>
      <c r="K604" s="104">
        <f>SUM(H604:J604)</f>
        <v>166511.38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55783.06</v>
      </c>
      <c r="J605" s="108">
        <f>SUM(J602:J604)</f>
        <v>110728.32000000001</v>
      </c>
      <c r="K605" s="108">
        <f>SUM(K602:K604)</f>
        <v>166511.38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1285093.8400000001</v>
      </c>
      <c r="H617" s="109">
        <f>SUM(F52)</f>
        <v>1285093.8399999999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116815.9</v>
      </c>
      <c r="H618" s="109">
        <f>SUM(G52)</f>
        <v>116815.90000000001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150337.53</v>
      </c>
      <c r="H619" s="109">
        <f>SUM(H52)</f>
        <v>150337.53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287304.21999999997</v>
      </c>
      <c r="H621" s="109">
        <f>SUM(J52)</f>
        <v>287304.21999999997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1041784.5299999999</v>
      </c>
      <c r="H622" s="109">
        <f>F476</f>
        <v>1041784.5300000012</v>
      </c>
      <c r="I622" s="121" t="s">
        <v>101</v>
      </c>
      <c r="J622" s="109">
        <f t="shared" ref="J622:J655" si="50">G622-H622</f>
        <v>-1.280568540096283E-9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43273.94</v>
      </c>
      <c r="H623" s="109">
        <f>G476</f>
        <v>43273.940000000061</v>
      </c>
      <c r="I623" s="121" t="s">
        <v>102</v>
      </c>
      <c r="J623" s="109">
        <f t="shared" si="50"/>
        <v>-5.8207660913467407E-11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163086.03</v>
      </c>
      <c r="H624" s="109">
        <f>H476</f>
        <v>163086.02999999997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214335.11</v>
      </c>
      <c r="H626" s="109">
        <f>J476</f>
        <v>214335.11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20617684.75</v>
      </c>
      <c r="H627" s="104">
        <f>SUM(F468)</f>
        <v>20617684.75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426019.65000000014</v>
      </c>
      <c r="H628" s="104">
        <f>SUM(G468)</f>
        <v>426019.65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504598.32</v>
      </c>
      <c r="H629" s="104">
        <f>SUM(H468)</f>
        <v>504598.32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188912.42</v>
      </c>
      <c r="H631" s="104">
        <f>SUM(J468)</f>
        <v>188912.42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20935199.27</v>
      </c>
      <c r="H632" s="104">
        <f>SUM(F472)</f>
        <v>20935199.27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481307.59</v>
      </c>
      <c r="H633" s="104">
        <f>SUM(H472)</f>
        <v>481307.59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231187.69</v>
      </c>
      <c r="H634" s="104">
        <f>I369</f>
        <v>231187.69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399454.67000000004</v>
      </c>
      <c r="H635" s="104">
        <f>SUM(G472)</f>
        <v>399454.67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188912.42</v>
      </c>
      <c r="H637" s="164">
        <f>SUM(J468)</f>
        <v>188912.42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69854.209999999992</v>
      </c>
      <c r="H638" s="164">
        <f>SUM(J472)</f>
        <v>69854.210000000006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287304.21999999997</v>
      </c>
      <c r="H640" s="104">
        <f>SUM(G461)</f>
        <v>287304.21999999997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287304.21999999997</v>
      </c>
      <c r="H642" s="104">
        <f>SUM(I461)</f>
        <v>287304.21999999997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1912.42</v>
      </c>
      <c r="H644" s="104">
        <f>H408</f>
        <v>1912.42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187000</v>
      </c>
      <c r="H645" s="104">
        <f>G408</f>
        <v>187000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188912.42</v>
      </c>
      <c r="H646" s="104">
        <f>L408</f>
        <v>188912.42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1116218.0899999999</v>
      </c>
      <c r="H647" s="104">
        <f>L208+L226+L244</f>
        <v>1116218.0900000001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166511.38</v>
      </c>
      <c r="H648" s="104">
        <f>(J257+J338)-(J255+J336)</f>
        <v>166511.38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320155.69</v>
      </c>
      <c r="H650" s="104">
        <f>I598</f>
        <v>320155.69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796062.4</v>
      </c>
      <c r="H651" s="104">
        <f>J598</f>
        <v>796062.39999999991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187000</v>
      </c>
      <c r="H655" s="104">
        <f>K266+K347</f>
        <v>187000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6569357.7600000016</v>
      </c>
      <c r="H660" s="19">
        <f>(L247+L328+L360)</f>
        <v>14430139.16</v>
      </c>
      <c r="I660" s="19">
        <f>SUM(F660:H660)</f>
        <v>20999496.920000002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132067.09252731732</v>
      </c>
      <c r="H661" s="19">
        <f>(L360/IF(SUM(L358:L360)=0,1,SUM(L358:L360))*(SUM(G97:G110)))</f>
        <v>242971.72747268272</v>
      </c>
      <c r="I661" s="19">
        <f>SUM(F661:H661)</f>
        <v>375038.82000000007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310617.13</v>
      </c>
      <c r="H662" s="19">
        <f>(L244+L325)-(J244+J325)</f>
        <v>779104.96000000008</v>
      </c>
      <c r="I662" s="19">
        <f>SUM(F662:H662)</f>
        <v>1089722.0900000001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167092.47999999998</v>
      </c>
      <c r="H663" s="199">
        <f>SUM(H575:H587)+SUM(J602:J604)+L613</f>
        <v>1140634.9300000002</v>
      </c>
      <c r="I663" s="19">
        <f>SUM(F663:H663)</f>
        <v>1307727.4100000001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5959581.0574726844</v>
      </c>
      <c r="H664" s="19">
        <f>H660-SUM(H661:H663)</f>
        <v>12267427.542527318</v>
      </c>
      <c r="I664" s="19">
        <f>I660-SUM(I661:I663)</f>
        <v>18227008.600000001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>
        <v>417.03</v>
      </c>
      <c r="H665" s="248">
        <v>798.61</v>
      </c>
      <c r="I665" s="19">
        <f>SUM(F665:H665)</f>
        <v>1215.6399999999999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>
        <f>ROUND(G664/G665,2)</f>
        <v>14290.53</v>
      </c>
      <c r="H667" s="19">
        <f>ROUND(H664/H665,2)</f>
        <v>15360.97</v>
      </c>
      <c r="I667" s="19">
        <f>ROUND(I664/I665,2)</f>
        <v>14993.76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-8.2200000000000006</v>
      </c>
      <c r="I670" s="19">
        <f>SUM(F670:H670)</f>
        <v>-8.2200000000000006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>
        <f>ROUND((G664+G669)/(G665+G670),2)</f>
        <v>14290.53</v>
      </c>
      <c r="H672" s="19">
        <f>ROUND((H664+H669)/(H665+H670),2)</f>
        <v>15520.73</v>
      </c>
      <c r="I672" s="19">
        <f>ROUND((I664+I669)/(I665+I670),2)</f>
        <v>15095.83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>
    <dataRefs count="1">
      <dataRef ref="F9:L671" sheet="DOE25"/>
    </dataRefs>
  </dataConsolidate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Hollis-Brookline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5238288.92</v>
      </c>
      <c r="C9" s="229">
        <f>'DOE25'!G197+'DOE25'!G215+'DOE25'!G233+'DOE25'!G276+'DOE25'!G295+'DOE25'!G314</f>
        <v>2374913.48</v>
      </c>
    </row>
    <row r="10" spans="1:3" x14ac:dyDescent="0.2">
      <c r="A10" t="s">
        <v>773</v>
      </c>
      <c r="B10" s="240">
        <v>5140588.9800000004</v>
      </c>
      <c r="C10" s="240">
        <v>2330618.69</v>
      </c>
    </row>
    <row r="11" spans="1:3" x14ac:dyDescent="0.2">
      <c r="A11" t="s">
        <v>774</v>
      </c>
      <c r="B11" s="240">
        <v>0</v>
      </c>
      <c r="C11" s="240">
        <v>0</v>
      </c>
    </row>
    <row r="12" spans="1:3" x14ac:dyDescent="0.2">
      <c r="A12" t="s">
        <v>775</v>
      </c>
      <c r="B12" s="240">
        <v>97699.94</v>
      </c>
      <c r="C12" s="240">
        <v>44294.79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5238288.9200000009</v>
      </c>
      <c r="C13" s="231">
        <f>SUM(C10:C12)</f>
        <v>2374913.48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1854511.92</v>
      </c>
      <c r="C18" s="229">
        <f>'DOE25'!G198+'DOE25'!G216+'DOE25'!G234+'DOE25'!G277+'DOE25'!G296+'DOE25'!G315</f>
        <v>732778.25</v>
      </c>
    </row>
    <row r="19" spans="1:3" x14ac:dyDescent="0.2">
      <c r="A19" t="s">
        <v>773</v>
      </c>
      <c r="B19" s="240">
        <v>1029043.02</v>
      </c>
      <c r="C19" s="240">
        <v>411617.2</v>
      </c>
    </row>
    <row r="20" spans="1:3" x14ac:dyDescent="0.2">
      <c r="A20" t="s">
        <v>774</v>
      </c>
      <c r="B20" s="240">
        <v>629731.78</v>
      </c>
      <c r="C20" s="240">
        <v>251892</v>
      </c>
    </row>
    <row r="21" spans="1:3" x14ac:dyDescent="0.2">
      <c r="A21" t="s">
        <v>775</v>
      </c>
      <c r="B21" s="240">
        <v>195737.12</v>
      </c>
      <c r="C21" s="240">
        <v>69269.05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1854511.92</v>
      </c>
      <c r="C22" s="231">
        <f>SUM(C19:C21)</f>
        <v>732778.25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465430.78</v>
      </c>
      <c r="C36" s="235">
        <f>'DOE25'!G200+'DOE25'!G218+'DOE25'!G236+'DOE25'!G279+'DOE25'!G298+'DOE25'!G317</f>
        <v>210186.33000000002</v>
      </c>
    </row>
    <row r="37" spans="1:3" x14ac:dyDescent="0.2">
      <c r="A37" t="s">
        <v>773</v>
      </c>
      <c r="B37" s="240">
        <v>284609.5</v>
      </c>
      <c r="C37" s="240">
        <v>128074.05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180821.28</v>
      </c>
      <c r="C39" s="240">
        <v>82112.28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465430.78</v>
      </c>
      <c r="C40" s="231">
        <f>SUM(C37:C39)</f>
        <v>210186.33000000002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J13" sqref="J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Hollis-Brookline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12971240.24</v>
      </c>
      <c r="D5" s="20">
        <f>SUM('DOE25'!L197:L200)+SUM('DOE25'!L215:L218)+SUM('DOE25'!L233:L236)-F5-G5</f>
        <v>12862084.779999999</v>
      </c>
      <c r="E5" s="243"/>
      <c r="F5" s="255">
        <f>SUM('DOE25'!J197:J200)+SUM('DOE25'!J215:J218)+SUM('DOE25'!J233:J236)</f>
        <v>76718.559999999998</v>
      </c>
      <c r="G5" s="53">
        <f>SUM('DOE25'!K197:K200)+SUM('DOE25'!K215:K218)+SUM('DOE25'!K233:K236)</f>
        <v>32436.9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1765873.91</v>
      </c>
      <c r="D6" s="20">
        <f>'DOE25'!L202+'DOE25'!L220+'DOE25'!L238-F6-G6</f>
        <v>1764748.91</v>
      </c>
      <c r="E6" s="243"/>
      <c r="F6" s="255">
        <f>'DOE25'!J202+'DOE25'!J220+'DOE25'!J238</f>
        <v>0</v>
      </c>
      <c r="G6" s="53">
        <f>'DOE25'!K202+'DOE25'!K220+'DOE25'!K238</f>
        <v>1125</v>
      </c>
      <c r="H6" s="259"/>
    </row>
    <row r="7" spans="1:9" x14ac:dyDescent="0.2">
      <c r="A7" s="32">
        <v>2200</v>
      </c>
      <c r="B7" t="s">
        <v>828</v>
      </c>
      <c r="C7" s="245">
        <f t="shared" si="0"/>
        <v>707054.56</v>
      </c>
      <c r="D7" s="20">
        <f>'DOE25'!L203+'DOE25'!L221+'DOE25'!L239-F7-G7</f>
        <v>647758.38</v>
      </c>
      <c r="E7" s="243"/>
      <c r="F7" s="255">
        <f>'DOE25'!J203+'DOE25'!J221+'DOE25'!J239</f>
        <v>59231.180000000008</v>
      </c>
      <c r="G7" s="53">
        <f>'DOE25'!K203+'DOE25'!K221+'DOE25'!K239</f>
        <v>65</v>
      </c>
      <c r="H7" s="259"/>
    </row>
    <row r="8" spans="1:9" x14ac:dyDescent="0.2">
      <c r="A8" s="32">
        <v>2300</v>
      </c>
      <c r="B8" t="s">
        <v>796</v>
      </c>
      <c r="C8" s="245">
        <f t="shared" si="0"/>
        <v>556200.82999999996</v>
      </c>
      <c r="D8" s="243"/>
      <c r="E8" s="20">
        <f>'DOE25'!L204+'DOE25'!L222+'DOE25'!L240-F8-G8-D9-D11</f>
        <v>551588.71</v>
      </c>
      <c r="F8" s="255">
        <f>'DOE25'!J204+'DOE25'!J222+'DOE25'!J240</f>
        <v>0</v>
      </c>
      <c r="G8" s="53">
        <f>'DOE25'!K204+'DOE25'!K222+'DOE25'!K240</f>
        <v>4612.12</v>
      </c>
      <c r="H8" s="259"/>
    </row>
    <row r="9" spans="1:9" x14ac:dyDescent="0.2">
      <c r="A9" s="32">
        <v>2310</v>
      </c>
      <c r="B9" t="s">
        <v>812</v>
      </c>
      <c r="C9" s="245">
        <f t="shared" si="0"/>
        <v>114605.2</v>
      </c>
      <c r="D9" s="244">
        <v>114605.2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11500</v>
      </c>
      <c r="D10" s="243"/>
      <c r="E10" s="244">
        <v>11500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203059.25</v>
      </c>
      <c r="D11" s="244">
        <v>203059.25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1251731.0699999998</v>
      </c>
      <c r="D12" s="20">
        <f>'DOE25'!L205+'DOE25'!L223+'DOE25'!L241-F12-G12</f>
        <v>1232950.3199999998</v>
      </c>
      <c r="E12" s="243"/>
      <c r="F12" s="255">
        <f>'DOE25'!J205+'DOE25'!J223+'DOE25'!J241</f>
        <v>2279.09</v>
      </c>
      <c r="G12" s="53">
        <f>'DOE25'!K205+'DOE25'!K223+'DOE25'!K241</f>
        <v>16501.66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1803.94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1803.94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1432947.57</v>
      </c>
      <c r="D14" s="20">
        <f>'DOE25'!L207+'DOE25'!L225+'DOE25'!L243-F14-G14</f>
        <v>1376431.65</v>
      </c>
      <c r="E14" s="243"/>
      <c r="F14" s="255">
        <f>'DOE25'!J207+'DOE25'!J225+'DOE25'!J243</f>
        <v>1786.55</v>
      </c>
      <c r="G14" s="53">
        <f>'DOE25'!K207+'DOE25'!K225+'DOE25'!K243</f>
        <v>54729.37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1116218.0900000001</v>
      </c>
      <c r="D15" s="20">
        <f>'DOE25'!L208+'DOE25'!L226+'DOE25'!L244-F15-G15</f>
        <v>1089722.0900000001</v>
      </c>
      <c r="E15" s="243"/>
      <c r="F15" s="255">
        <f>'DOE25'!J208+'DOE25'!J226+'DOE25'!J244</f>
        <v>26496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30097.61</v>
      </c>
      <c r="D22" s="243"/>
      <c r="E22" s="243"/>
      <c r="F22" s="255">
        <f>'DOE25'!L255+'DOE25'!L336</f>
        <v>30097.61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597367</v>
      </c>
      <c r="D25" s="243"/>
      <c r="E25" s="243"/>
      <c r="F25" s="258"/>
      <c r="G25" s="256"/>
      <c r="H25" s="257">
        <f>'DOE25'!L260+'DOE25'!L261+'DOE25'!L341+'DOE25'!L342</f>
        <v>597367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191101.98000000004</v>
      </c>
      <c r="D29" s="20">
        <f>'DOE25'!L358+'DOE25'!L359+'DOE25'!L360-'DOE25'!I367-F29-G29</f>
        <v>190901.98000000004</v>
      </c>
      <c r="E29" s="243"/>
      <c r="F29" s="255">
        <f>'DOE25'!J358+'DOE25'!J359+'DOE25'!J360</f>
        <v>0</v>
      </c>
      <c r="G29" s="53">
        <f>'DOE25'!K358+'DOE25'!K359+'DOE25'!K360</f>
        <v>200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479307.59</v>
      </c>
      <c r="D31" s="20">
        <f>'DOE25'!L290+'DOE25'!L309+'DOE25'!L328+'DOE25'!L333+'DOE25'!L334+'DOE25'!L335-F31-G31</f>
        <v>479307.59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19961570.149999999</v>
      </c>
      <c r="E33" s="246">
        <f>SUM(E5:E31)</f>
        <v>563088.71</v>
      </c>
      <c r="F33" s="246">
        <f>SUM(F5:F31)</f>
        <v>196608.99</v>
      </c>
      <c r="G33" s="246">
        <f>SUM(G5:G31)</f>
        <v>111473.99000000002</v>
      </c>
      <c r="H33" s="246">
        <f>SUM(H5:H31)</f>
        <v>597367</v>
      </c>
    </row>
    <row r="35" spans="2:8" ht="12" thickBot="1" x14ac:dyDescent="0.25">
      <c r="B35" s="253" t="s">
        <v>841</v>
      </c>
      <c r="D35" s="254">
        <f>E33</f>
        <v>563088.71</v>
      </c>
      <c r="E35" s="249"/>
    </row>
    <row r="36" spans="2:8" ht="12" thickTop="1" x14ac:dyDescent="0.2">
      <c r="B36" t="s">
        <v>809</v>
      </c>
      <c r="D36" s="20">
        <f>D33</f>
        <v>19961570.149999999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Hollis-Brookline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1123105.17</v>
      </c>
      <c r="D8" s="95">
        <f>'DOE25'!G9</f>
        <v>96762.01999999999</v>
      </c>
      <c r="E8" s="95">
        <f>'DOE25'!H9</f>
        <v>20.07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7992.92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110221.32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18709.330000000002</v>
      </c>
      <c r="D12" s="95">
        <f>'DOE25'!G13</f>
        <v>9683.41</v>
      </c>
      <c r="E12" s="95">
        <f>'DOE25'!H13</f>
        <v>149817.46</v>
      </c>
      <c r="F12" s="95">
        <f>'DOE25'!I13</f>
        <v>0</v>
      </c>
      <c r="G12" s="95">
        <f>'DOE25'!J13</f>
        <v>287304.21999999997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210</v>
      </c>
      <c r="D13" s="95">
        <f>'DOE25'!G14</f>
        <v>0</v>
      </c>
      <c r="E13" s="95">
        <f>'DOE25'!H14</f>
        <v>500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10370.469999999999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24855.1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1285093.8400000001</v>
      </c>
      <c r="D18" s="41">
        <f>SUM(D8:D17)</f>
        <v>116815.9</v>
      </c>
      <c r="E18" s="41">
        <f>SUM(E8:E17)</f>
        <v>150337.53</v>
      </c>
      <c r="F18" s="41">
        <f>SUM(F8:F17)</f>
        <v>0</v>
      </c>
      <c r="G18" s="41">
        <f>SUM(G8:G17)</f>
        <v>287304.21999999997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50517.94</v>
      </c>
      <c r="E21" s="95">
        <f>'DOE25'!H22</f>
        <v>-13265.73000000001</v>
      </c>
      <c r="F21" s="95">
        <f>'DOE25'!I22</f>
        <v>0</v>
      </c>
      <c r="G21" s="95">
        <f>'DOE25'!J22</f>
        <v>72969.11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56618.93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107252.67</v>
      </c>
      <c r="D23" s="95">
        <f>'DOE25'!G24</f>
        <v>116.25</v>
      </c>
      <c r="E23" s="95">
        <f>'DOE25'!H24</f>
        <v>517.23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79237.709999999992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200</v>
      </c>
      <c r="D29" s="95">
        <f>'DOE25'!G30</f>
        <v>22907.77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243309.31</v>
      </c>
      <c r="D31" s="41">
        <f>SUM(D21:D30)</f>
        <v>73541.960000000006</v>
      </c>
      <c r="E31" s="41">
        <f>SUM(E21:E30)</f>
        <v>-12748.500000000011</v>
      </c>
      <c r="F31" s="41">
        <f>SUM(F21:F30)</f>
        <v>0</v>
      </c>
      <c r="G31" s="41">
        <f>SUM(G21:G30)</f>
        <v>72969.11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10370.469999999999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24855.1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32903.47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152203.09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142000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163086.03</v>
      </c>
      <c r="F47" s="95">
        <f>'DOE25'!I48</f>
        <v>0</v>
      </c>
      <c r="G47" s="95">
        <f>'DOE25'!J48</f>
        <v>214335.11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462726.33999999997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1041784.5299999999</v>
      </c>
      <c r="D50" s="41">
        <f>SUM(D34:D49)</f>
        <v>43273.94</v>
      </c>
      <c r="E50" s="41">
        <f>SUM(E34:E49)</f>
        <v>163086.03</v>
      </c>
      <c r="F50" s="41">
        <f>SUM(F34:F49)</f>
        <v>0</v>
      </c>
      <c r="G50" s="41">
        <f>SUM(G34:G49)</f>
        <v>214335.11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1285093.8399999999</v>
      </c>
      <c r="D51" s="41">
        <f>D50+D31</f>
        <v>116815.90000000001</v>
      </c>
      <c r="E51" s="41">
        <f>E50+E31</f>
        <v>150337.53</v>
      </c>
      <c r="F51" s="41">
        <f>F50+F31</f>
        <v>0</v>
      </c>
      <c r="G51" s="41">
        <f>G50+G31</f>
        <v>287304.21999999997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14288861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9505.61</v>
      </c>
      <c r="D59" s="95">
        <f>'DOE25'!G96</f>
        <v>54.28</v>
      </c>
      <c r="E59" s="95">
        <f>'DOE25'!H96</f>
        <v>0</v>
      </c>
      <c r="F59" s="95">
        <f>'DOE25'!I96</f>
        <v>0</v>
      </c>
      <c r="G59" s="95">
        <f>'DOE25'!J96</f>
        <v>1912.42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375038.82000000007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94703.29</v>
      </c>
      <c r="D61" s="95">
        <f>SUM('DOE25'!G98:G110)</f>
        <v>0</v>
      </c>
      <c r="E61" s="95">
        <f>SUM('DOE25'!H98:H110)</f>
        <v>252203.86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104208.9</v>
      </c>
      <c r="D62" s="130">
        <f>SUM(D57:D61)</f>
        <v>375093.10000000009</v>
      </c>
      <c r="E62" s="130">
        <f>SUM(E57:E61)</f>
        <v>252203.86</v>
      </c>
      <c r="F62" s="130">
        <f>SUM(F57:F61)</f>
        <v>0</v>
      </c>
      <c r="G62" s="130">
        <f>SUM(G57:G61)</f>
        <v>1912.42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14393069.9</v>
      </c>
      <c r="D63" s="22">
        <f>D56+D62</f>
        <v>375093.10000000009</v>
      </c>
      <c r="E63" s="22">
        <f>E56+E62</f>
        <v>252203.86</v>
      </c>
      <c r="F63" s="22">
        <f>F56+F62</f>
        <v>0</v>
      </c>
      <c r="G63" s="22">
        <f>G56+G62</f>
        <v>1912.42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3168919.99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2138804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5309639.8500000006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173361.94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577614.72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10452.5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3155.53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761429.15999999992</v>
      </c>
      <c r="D78" s="130">
        <f>SUM(D72:D77)</f>
        <v>3155.53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6071069.0100000007</v>
      </c>
      <c r="D81" s="130">
        <f>SUM(D79:D80)+D78+D70</f>
        <v>3155.53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14583.9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149429.93</v>
      </c>
      <c r="D88" s="95">
        <f>SUM('DOE25'!G153:G161)</f>
        <v>33187.119999999995</v>
      </c>
      <c r="E88" s="95">
        <f>SUM('DOE25'!H153:H161)</f>
        <v>252394.46000000002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149429.93</v>
      </c>
      <c r="D91" s="131">
        <f>SUM(D85:D90)</f>
        <v>47771.02</v>
      </c>
      <c r="E91" s="131">
        <f>SUM(E85:E90)</f>
        <v>252394.46000000002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187000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4115.91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4115.91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187000</v>
      </c>
    </row>
    <row r="104" spans="1:7" ht="12.75" thickTop="1" thickBot="1" x14ac:dyDescent="0.25">
      <c r="A104" s="33" t="s">
        <v>759</v>
      </c>
      <c r="C104" s="86">
        <f>C63+C81+C91+C103</f>
        <v>20617684.75</v>
      </c>
      <c r="D104" s="86">
        <f>D63+D81+D91+D103</f>
        <v>426019.65000000014</v>
      </c>
      <c r="E104" s="86">
        <f>E63+E81+E91+E103</f>
        <v>504598.32</v>
      </c>
      <c r="F104" s="86">
        <f>F63+F81+F91+F103</f>
        <v>0</v>
      </c>
      <c r="G104" s="86">
        <f>G63+G81+G103</f>
        <v>188912.42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7900133.8300000001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4209012.17</v>
      </c>
      <c r="D110" s="24" t="s">
        <v>286</v>
      </c>
      <c r="E110" s="95">
        <f>('DOE25'!L277)+('DOE25'!L296)+('DOE25'!L315)</f>
        <v>238594.51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23602.77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838491.47</v>
      </c>
      <c r="D112" s="24" t="s">
        <v>286</v>
      </c>
      <c r="E112" s="95">
        <f>+('DOE25'!L279)+('DOE25'!L298)+('DOE25'!L317)</f>
        <v>228913.13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12971240.24</v>
      </c>
      <c r="D115" s="86">
        <f>SUM(D109:D114)</f>
        <v>0</v>
      </c>
      <c r="E115" s="86">
        <f>SUM(E109:E114)</f>
        <v>467507.64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1765873.91</v>
      </c>
      <c r="D118" s="24" t="s">
        <v>286</v>
      </c>
      <c r="E118" s="95">
        <f>+('DOE25'!L281)+('DOE25'!L300)+('DOE25'!L319)</f>
        <v>6760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707054.56</v>
      </c>
      <c r="D119" s="24" t="s">
        <v>286</v>
      </c>
      <c r="E119" s="95">
        <f>+('DOE25'!L282)+('DOE25'!L301)+('DOE25'!L320)</f>
        <v>5039.95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873865.27999999991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1251731.0699999998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1803.94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1432947.57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1116218.0900000001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399454.67000000004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7149494.4199999999</v>
      </c>
      <c r="D128" s="86">
        <f>SUM(D118:D127)</f>
        <v>399454.67000000004</v>
      </c>
      <c r="E128" s="86">
        <f>SUM(E118:E127)</f>
        <v>11799.95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30097.61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420000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177367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188912.42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-1912.4200000000128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814464.61</v>
      </c>
      <c r="D144" s="141">
        <f>SUM(D130:D143)</f>
        <v>0</v>
      </c>
      <c r="E144" s="141">
        <f>SUM(E130:E143)</f>
        <v>2000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20935199.27</v>
      </c>
      <c r="D145" s="86">
        <f>(D115+D128+D144)</f>
        <v>399454.67000000004</v>
      </c>
      <c r="E145" s="86">
        <f>(E115+E128+E144)</f>
        <v>481307.59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7703400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4010000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4010000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420000</v>
      </c>
    </row>
    <row r="159" spans="1:9" x14ac:dyDescent="0.2">
      <c r="A159" s="22" t="s">
        <v>35</v>
      </c>
      <c r="B159" s="137">
        <f>'DOE25'!F498</f>
        <v>3590000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3590000</v>
      </c>
    </row>
    <row r="160" spans="1:9" x14ac:dyDescent="0.2">
      <c r="A160" s="22" t="s">
        <v>36</v>
      </c>
      <c r="B160" s="137">
        <f>'DOE25'!F499</f>
        <v>584780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584780</v>
      </c>
    </row>
    <row r="161" spans="1:7" x14ac:dyDescent="0.2">
      <c r="A161" s="22" t="s">
        <v>37</v>
      </c>
      <c r="B161" s="137">
        <f>'DOE25'!F500</f>
        <v>4174780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4174780</v>
      </c>
    </row>
    <row r="162" spans="1:7" x14ac:dyDescent="0.2">
      <c r="A162" s="22" t="s">
        <v>38</v>
      </c>
      <c r="B162" s="137">
        <f>'DOE25'!F501</f>
        <v>440000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440000</v>
      </c>
    </row>
    <row r="163" spans="1:7" x14ac:dyDescent="0.2">
      <c r="A163" s="22" t="s">
        <v>39</v>
      </c>
      <c r="B163" s="137">
        <f>'DOE25'!F502</f>
        <v>155867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155867</v>
      </c>
    </row>
    <row r="164" spans="1:7" x14ac:dyDescent="0.2">
      <c r="A164" s="22" t="s">
        <v>246</v>
      </c>
      <c r="B164" s="137">
        <f>'DOE25'!F503</f>
        <v>595867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595867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Hollis-Brookline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14291</v>
      </c>
    </row>
    <row r="6" spans="1:4" x14ac:dyDescent="0.2">
      <c r="B6" t="s">
        <v>62</v>
      </c>
      <c r="C6" s="179">
        <f>IF('DOE25'!H665+'DOE25'!H670=0,0,ROUND('DOE25'!H672,0))</f>
        <v>15521</v>
      </c>
    </row>
    <row r="7" spans="1:4" x14ac:dyDescent="0.2">
      <c r="B7" t="s">
        <v>699</v>
      </c>
      <c r="C7" s="179">
        <f>IF('DOE25'!I665+'DOE25'!I670=0,0,ROUND('DOE25'!I672,0))</f>
        <v>15096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7900134</v>
      </c>
      <c r="D10" s="182">
        <f>ROUND((C10/$C$28)*100,1)</f>
        <v>38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4447607</v>
      </c>
      <c r="D11" s="182">
        <f>ROUND((C11/$C$28)*100,1)</f>
        <v>21.4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23603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1067405</v>
      </c>
      <c r="D13" s="182">
        <f>ROUND((C13/$C$28)*100,1)</f>
        <v>5.0999999999999996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1772634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712095</v>
      </c>
      <c r="D16" s="182">
        <f t="shared" si="0"/>
        <v>3.4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873865</v>
      </c>
      <c r="D17" s="182">
        <f t="shared" si="0"/>
        <v>4.2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1251731</v>
      </c>
      <c r="D18" s="182">
        <f t="shared" si="0"/>
        <v>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1804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1432948</v>
      </c>
      <c r="D20" s="182">
        <f t="shared" si="0"/>
        <v>6.9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1116218</v>
      </c>
      <c r="D21" s="182">
        <f t="shared" si="0"/>
        <v>5.4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177367</v>
      </c>
      <c r="D25" s="182">
        <f t="shared" si="0"/>
        <v>0.9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24416.179999999935</v>
      </c>
      <c r="D27" s="182">
        <f t="shared" si="0"/>
        <v>0.1</v>
      </c>
    </row>
    <row r="28" spans="1:4" x14ac:dyDescent="0.2">
      <c r="B28" s="187" t="s">
        <v>717</v>
      </c>
      <c r="C28" s="180">
        <f>SUM(C10:C27)</f>
        <v>20801827.18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30098</v>
      </c>
    </row>
    <row r="30" spans="1:4" x14ac:dyDescent="0.2">
      <c r="B30" s="187" t="s">
        <v>723</v>
      </c>
      <c r="C30" s="180">
        <f>SUM(C28:C29)</f>
        <v>20831925.18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420000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14288861</v>
      </c>
      <c r="D35" s="182">
        <f t="shared" ref="D35:D40" si="1">ROUND((C35/$C$41)*100,1)</f>
        <v>67.5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358379.45999999903</v>
      </c>
      <c r="D36" s="182">
        <f t="shared" si="1"/>
        <v>1.7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5307724</v>
      </c>
      <c r="D37" s="182">
        <f t="shared" si="1"/>
        <v>25.1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766501</v>
      </c>
      <c r="D38" s="182">
        <f t="shared" si="1"/>
        <v>3.6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449595</v>
      </c>
      <c r="D39" s="182">
        <f t="shared" si="1"/>
        <v>2.1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21171060.460000001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Hollis-Brookline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2018-10-05T12:05:58Z</cp:lastPrinted>
  <dcterms:created xsi:type="dcterms:W3CDTF">1997-12-04T19:04:30Z</dcterms:created>
  <dcterms:modified xsi:type="dcterms:W3CDTF">2018-12-03T19:02:51Z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