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57" i="1"/>
  <c r="G197" i="1" l="1"/>
  <c r="H276" i="1" l="1"/>
  <c r="F9" i="1" l="1"/>
  <c r="H207" i="1" l="1"/>
  <c r="G203" i="1"/>
  <c r="H611" i="1" l="1"/>
  <c r="I521" i="1"/>
  <c r="H521" i="1"/>
  <c r="F521" i="1"/>
  <c r="G205" i="1" l="1"/>
  <c r="G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C18" i="2"/>
  <c r="C26" i="10"/>
  <c r="L328" i="1"/>
  <c r="H660" i="1" s="1"/>
  <c r="H664" i="1" s="1"/>
  <c r="L351" i="1"/>
  <c r="I662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F338" i="1"/>
  <c r="F352" i="1" s="1"/>
  <c r="G192" i="1"/>
  <c r="H192" i="1"/>
  <c r="E128" i="2"/>
  <c r="F552" i="1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F112" i="1" l="1"/>
  <c r="L545" i="1"/>
  <c r="K552" i="1"/>
  <c r="C56" i="2"/>
  <c r="C35" i="10"/>
  <c r="C70" i="2"/>
  <c r="J622" i="1"/>
  <c r="D31" i="2"/>
  <c r="I461" i="1"/>
  <c r="H642" i="1" s="1"/>
  <c r="J640" i="1"/>
  <c r="J623" i="1"/>
  <c r="C10" i="10"/>
  <c r="H257" i="1"/>
  <c r="H271" i="1" s="1"/>
  <c r="C128" i="2"/>
  <c r="E33" i="13"/>
  <c r="D35" i="13" s="1"/>
  <c r="L211" i="1"/>
  <c r="F660" i="1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H646" i="1"/>
  <c r="J646" i="1" s="1"/>
  <c r="G104" i="2"/>
  <c r="C145" i="2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7" i="1" l="1"/>
  <c r="F672" i="1"/>
  <c r="C4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<sst xmlns="http://schemas.openxmlformats.org/spreadsheetml/2006/main" count="3960" uniqueCount="916">
  <si>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</si>
  <si>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</si>
  <si>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</si>
  <si>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</si>
  <si>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</si>
  <si>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</si>
  <si>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</si>
  <si>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</si>
  <si>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</si>
  <si>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</si>
  <si>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</si>
  <si>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</si>
  <si>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</si>
  <si>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</si>
  <si>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</si>
  <si>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</si>
  <si>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</si>
  <si>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</si>
  <si>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</si>
  <si>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</si>
  <si>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</si>
  <si>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</si>
  <si>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</si>
  <si>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</si>
  <si>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</si>
  <si>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</si>
  <si>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</si>
  <si>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</si>
  <si>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</si>
  <si>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</si>
  <si>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</si>
  <si>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</si>
  <si>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</si>
  <si>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</si>
  <si>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</si>
  <si>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</si>
  <si>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</si>
  <si>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</si>
  <si>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</si>
  <si>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</si>
  <si>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</si>
  <si>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</si>
  <si>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</si>
  <si>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</si>
  <si>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</si>
  <si>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</si>
  <si>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</si>
  <si>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</si>
  <si>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</si>
  <si>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</si>
  <si>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</si>
  <si>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</si>
  <si>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</si>
  <si>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</si>
  <si>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</si>
  <si>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</si>
  <si>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</si>
  <si>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</si>
  <si>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</si>
  <si>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</si>
  <si>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</si>
  <si>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</si>
  <si>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</si>
  <si>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</si>
  <si>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</si>
  <si>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</si>
  <si>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</si>
  <si>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</si>
  <si>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</si>
  <si>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</si>
  <si>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</si>
  <si>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</si>
  <si>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</si>
  <si>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</si>
  <si>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</si>
  <si>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</si>
  <si>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</si>
  <si>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</si>
  <si>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</si>
  <si>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</si>
  <si>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</si>
  <si>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</si>
  <si>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</si>
  <si>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</si>
  <si>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</si>
  <si>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</si>
  <si>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</si>
  <si>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</si>
  <si>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</si>
  <si>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</si>
  <si>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</si>
  <si>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</si>
  <si>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</si>
  <si>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</si>
  <si>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</si>
  <si>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</si>
  <si>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</si>
  <si>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</si>
  <si>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</si>
  <si>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</si>
  <si>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</si>
  <si>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</si>
  <si>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</si>
  <si>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</si>
  <si>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</si>
  <si>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</si>
  <si>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</si>
  <si>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</si>
  <si>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</si>
  <si>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</si>
  <si>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</si>
  <si>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</si>
  <si>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</si>
  <si>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</si>
  <si>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</si>
  <si>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</si>
  <si>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</si>
  <si>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</si>
  <si>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</si>
  <si>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</si>
  <si>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</si>
  <si>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</si>
  <si>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</si>
  <si>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</si>
  <si>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</si>
  <si>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</si>
  <si>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</si>
  <si>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</si>
  <si>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</si>
  <si>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</si>
  <si>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</si>
  <si>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</si>
  <si>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</si>
  <si>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</si>
  <si>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</si>
  <si>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</si>
  <si>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</si>
  <si>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</si>
  <si>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</si>
  <si>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</si>
  <si>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</si>
  <si>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</si>
  <si>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</si>
  <si>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</si>
  <si>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</si>
  <si>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</si>
  <si>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</si>
  <si>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</si>
  <si>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</si>
  <si>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</si>
  <si>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</si>
  <si>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</si>
  <si>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</si>
  <si>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</si>
  <si>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</si>
  <si>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</si>
  <si>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</si>
  <si>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</si>
  <si>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</si>
  <si>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</si>
  <si>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</si>
  <si>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</si>
  <si>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</si>
  <si>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</si>
  <si>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</si>
  <si>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</si>
  <si>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</si>
  <si>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</si>
  <si>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</si>
  <si>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</si>
  <si>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</si>
  <si>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</si>
  <si>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</si>
  <si>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</si>
  <si>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</si>
  <si>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</si>
  <si>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</si>
  <si>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</si>
  <si>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</si>
  <si>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</si>
  <si>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</si>
  <si>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</si>
  <si>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</si>
  <si>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</si>
  <si>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</si>
  <si>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</si>
  <si>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</si>
  <si>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</si>
  <si>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</si>
  <si>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</si>
  <si>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</si>
  <si>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</si>
  <si>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</si>
  <si>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</si>
  <si>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</si>
  <si>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</si>
  <si>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</si>
  <si>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</si>
  <si>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</si>
  <si>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</si>
  <si>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</si>
  <si>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</si>
  <si>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</si>
  <si>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</si>
  <si>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</si>
  <si>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</si>
  <si>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</si>
  <si>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</si>
  <si>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</si>
  <si>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</si>
  <si>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</si>
  <si>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</si>
  <si>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</si>
  <si>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</si>
  <si>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</si>
  <si>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</si>
  <si>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</si>
  <si>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</si>
  <si>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</si>
  <si>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</si>
  <si>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</si>
  <si>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</si>
  <si>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</si>
  <si>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</si>
  <si>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</si>
  <si>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</si>
  <si>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</si>
  <si>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</si>
  <si>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</si>
  <si>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</si>
  <si>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</si>
  <si>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</si>
  <si>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</si>
  <si>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</si>
  <si>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</si>
  <si>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</si>
  <si>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</si>
  <si>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</si>
  <si>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</si>
  <si>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</si>
  <si>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</si>
  <si>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</si>
  <si>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</si>
  <si>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</si>
  <si>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</si>
  <si>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</si>
  <si>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</si>
  <si>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</si>
  <si>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</si>
  <si>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</si>
  <si>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</si>
  <si>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</si>
  <si>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</si>
  <si>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</si>
  <si>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</si>
  <si>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</si>
  <si>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</si>
  <si>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</si>
  <si>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</si>
  <si>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</si>
  <si>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</si>
  <si>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</si>
  <si>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</si>
  <si>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</si>
  <si>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</si>
  <si>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</si>
  <si>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</si>
  <si>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</si>
  <si>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</si>
  <si>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</si>
  <si>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</si>
  <si>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</si>
  <si>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</si>
  <si>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</si>
  <si>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</si>
  <si>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</si>
  <si>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</si>
  <si>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</si>
  <si>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</si>
  <si>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</si>
  <si>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</si>
  <si>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</si>
  <si>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</si>
  <si>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</si>
  <si>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</si>
  <si>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</si>
  <si>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</si>
  <si>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</si>
  <si>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</si>
  <si>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</si>
  <si>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</si>
  <si>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</si>
  <si>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</si>
  <si>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</si>
  <si>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</si>
  <si>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</si>
  <si>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</si>
  <si>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</si>
  <si>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</si>
  <si>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</si>
  <si>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</si>
  <si>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</si>
  <si>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</si>
  <si>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</si>
  <si>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</si>
  <si>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</si>
  <si>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</si>
  <si>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</si>
  <si>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</si>
  <si>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</si>
  <si>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</si>
  <si>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</si>
  <si>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</si>
  <si>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</si>
  <si>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</si>
  <si>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</si>
  <si>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</si>
  <si>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</si>
  <si>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</si>
  <si>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</si>
  <si>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</si>
  <si>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</si>
  <si>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</si>
  <si>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</si>
  <si>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</si>
  <si>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</si>
  <si>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</si>
  <si>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</si>
  <si>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</si>
  <si>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</si>
  <si>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</si>
  <si>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</si>
  <si>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</si>
  <si>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</si>
  <si>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</si>
  <si>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</si>
  <si>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</si>
  <si>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</si>
  <si>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</si>
  <si>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</si>
  <si>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</si>
  <si>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</si>
  <si>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</si>
  <si>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</si>
  <si>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</si>
  <si>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</si>
  <si>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</si>
  <si>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</si>
  <si>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</si>
  <si>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</si>
  <si>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</si>
  <si>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</si>
  <si>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</si>
  <si>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</si>
  <si>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</si>
  <si>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</si>
  <si>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</si>
  <si>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</si>
  <si>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</si>
  <si>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</si>
  <si>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</si>
  <si>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</si>
  <si>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</si>
  <si>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</si>
  <si>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</si>
  <si>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</si>
  <si>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</si>
  <si>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</si>
  <si>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</si>
  <si>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</si>
  <si>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</si>
  <si>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</si>
  <si>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</si>
  <si>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</si>
  <si>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</si>
  <si>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</si>
  <si>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</si>
  <si>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</si>
  <si>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</si>
  <si>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</si>
  <si>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</si>
  <si>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</si>
  <si>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</si>
  <si>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</si>
  <si>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</si>
  <si>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</si>
  <si>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</si>
  <si>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</si>
  <si>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</si>
  <si>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</si>
  <si>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</si>
  <si>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</si>
  <si>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</si>
  <si>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</si>
  <si>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</si>
  <si>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</si>
  <si>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</si>
  <si>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</si>
  <si>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</si>
  <si>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</si>
  <si>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</si>
  <si>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</si>
  <si>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</si>
  <si>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</si>
  <si>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</si>
  <si>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</si>
  <si>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</si>
  <si>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</si>
  <si>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</si>
  <si>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</si>
  <si>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</si>
  <si>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</si>
  <si>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</si>
  <si>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</si>
  <si>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</si>
  <si>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</si>
  <si>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</si>
  <si>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</si>
  <si>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</si>
  <si>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</si>
  <si>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</si>
  <si>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</si>
  <si>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</si>
  <si>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</si>
  <si>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</si>
  <si>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</si>
  <si>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</si>
  <si>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</si>
  <si>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</si>
  <si>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</si>
  <si>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</si>
  <si>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</si>
  <si>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</si>
  <si>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</si>
  <si>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</si>
  <si>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</si>
  <si>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</si>
  <si>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</si>
  <si>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</si>
  <si>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</si>
  <si>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</si>
  <si>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</si>
  <si>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</si>
  <si>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</si>
  <si>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</si>
  <si>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</si>
  <si>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</si>
  <si>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</si>
  <si>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</si>
  <si>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</si>
  <si>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</si>
  <si>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</si>
  <si>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</si>
  <si>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</si>
  <si>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</si>
  <si>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</si>
  <si>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</si>
  <si>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</si>
  <si>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</si>
  <si>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</si>
  <si>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</si>
  <si>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</si>
  <si>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</si>
  <si>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</si>
  <si>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</si>
  <si>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</si>
  <si>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</si>
  <si>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</si>
  <si>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</si>
  <si>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</si>
  <si>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</si>
  <si>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</si>
  <si>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</si>
  <si>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</si>
  <si>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</si>
  <si>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</si>
  <si>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</si>
  <si>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</si>
  <si>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</si>
  <si>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</si>
  <si>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</si>
  <si>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</si>
  <si>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</si>
  <si>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</si>
  <si>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</si>
  <si>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</si>
  <si>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</si>
  <si>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</si>
  <si>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</si>
  <si>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</si>
  <si>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</si>
  <si>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</si>
  <si>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</si>
  <si>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</si>
  <si>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</si>
  <si>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</si>
  <si>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</si>
  <si>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</si>
  <si>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</si>
  <si>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</si>
  <si>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</si>
  <si>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</si>
  <si>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</si>
  <si>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</si>
  <si>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</si>
  <si>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</si>
  <si>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</si>
  <si>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</si>
  <si>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</si>
  <si>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</si>
  <si>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</si>
  <si>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</si>
  <si>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</si>
  <si>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</si>
  <si>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</si>
  <si>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</si>
  <si>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</si>
  <si>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</si>
  <si>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</si>
  <si>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</si>
  <si>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</si>
  <si>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</si>
  <si>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</si>
  <si>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</si>
  <si>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</si>
  <si>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</si>
  <si>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</si>
  <si>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</si>
  <si>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</si>
  <si>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</si>
  <si>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</si>
  <si>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</si>
  <si>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</si>
  <si>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</si>
  <si>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</si>
  <si>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</si>
  <si>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</si>
  <si>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</si>
  <si>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</si>
  <si>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</si>
  <si>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</si>
  <si>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</si>
  <si>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</si>
  <si>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</si>
  <si>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</si>
  <si>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</si>
  <si>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</si>
  <si>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</si>
  <si>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</si>
  <si>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</si>
  <si>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</si>
  <si>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</si>
  <si>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</si>
  <si>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</si>
  <si>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</si>
  <si>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</si>
  <si>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</si>
  <si>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</si>
  <si>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</si>
  <si>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</si>
  <si>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</si>
  <si>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</si>
  <si>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</si>
  <si>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</si>
  <si>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</si>
  <si>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</si>
  <si>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</si>
  <si>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</si>
  <si>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</si>
  <si>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</si>
  <si>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</si>
  <si>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</si>
  <si>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</si>
  <si>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</si>
  <si>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</si>
  <si>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</si>
  <si>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</si>
  <si>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</si>
  <si>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</si>
  <si>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</si>
  <si>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</si>
  <si>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</si>
  <si>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</si>
  <si>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</si>
  <si>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</si>
  <si>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</si>
  <si>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</si>
  <si>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</si>
  <si>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</si>
  <si>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</si>
  <si>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</si>
  <si>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</si>
  <si>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</si>
  <si>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</si>
  <si>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</si>
  <si>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</si>
  <si>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</si>
  <si>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</si>
  <si>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</si>
  <si>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</si>
  <si>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</si>
  <si>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</si>
  <si>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</si>
  <si>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</si>
  <si>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</si>
  <si>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</si>
  <si>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</si>
  <si>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</si>
  <si>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</si>
  <si>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</si>
  <si>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</si>
  <si>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</si>
  <si>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</si>
  <si>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</si>
  <si>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</si>
  <si>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</si>
  <si>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</si>
  <si>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</si>
  <si>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</si>
  <si>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</si>
  <si>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</si>
  <si>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</si>
  <si>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</si>
  <si>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</si>
  <si>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</si>
  <si>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</si>
  <si>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</si>
  <si>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</si>
  <si>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</si>
  <si>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</si>
  <si>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</si>
  <si>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</si>
  <si>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</si>
  <si>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</si>
  <si>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</si>
  <si>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</si>
  <si>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</si>
  <si>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</si>
  <si>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</si>
  <si>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</si>
  <si>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</si>
  <si>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</si>
  <si>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</si>
  <si>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</si>
  <si>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</si>
  <si>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</si>
  <si>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</si>
  <si>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</si>
  <si>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</si>
  <si>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</si>
  <si>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</si>
  <si>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</si>
  <si>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</si>
  <si>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</si>
  <si>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</si>
  <si>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</si>
  <si>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</si>
  <si>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</si>
  <si>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</si>
  <si>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</si>
  <si>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</si>
  <si>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</si>
  <si>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</si>
  <si>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</si>
  <si>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</si>
  <si>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</si>
  <si>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</si>
  <si>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</si>
  <si>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</si>
  <si>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</si>
  <si>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</si>
  <si>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</si>
  <si>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</si>
  <si>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</si>
  <si>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</si>
  <si>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</si>
  <si>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</si>
  <si>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</si>
  <si>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</si>
  <si>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</si>
  <si>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</si>
  <si>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</si>
  <si>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</si>
  <si>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</si>
  <si>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</si>
  <si>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</si>
  <si>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</si>
  <si>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</si>
  <si>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</si>
  <si>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</si>
  <si>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</si>
  <si>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</si>
  <si>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</si>
  <si>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</si>
  <si>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</si>
  <si>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</si>
  <si>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</si>
  <si>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</si>
  <si>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</si>
  <si>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</si>
  <si>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</si>
  <si>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</si>
  <si>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</si>
  <si>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</si>
  <si>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</si>
  <si>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</si>
  <si>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</si>
  <si>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</si>
  <si>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</si>
  <si>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</si>
  <si>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</si>
  <si>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</si>
  <si>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</si>
  <si>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</si>
  <si>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</si>
  <si>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</si>
  <si>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</si>
  <si>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</si>
  <si>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</si>
  <si>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</si>
  <si>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</si>
  <si>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</si>
  <si>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</si>
  <si>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</si>
  <si>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</si>
  <si>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</si>
  <si>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</si>
  <si>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</si>
  <si>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</si>
  <si>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</si>
  <si>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</si>
  <si>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</si>
  <si>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</si>
  <si>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</si>
  <si>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</si>
  <si>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</si>
  <si>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</si>
  <si>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</si>
  <si>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</si>
  <si>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</si>
  <si>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</si>
  <si>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</si>
  <si>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</si>
  <si>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</si>
  <si>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</si>
  <si>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</si>
  <si>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</si>
  <si>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</si>
  <si>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</si>
  <si>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</si>
  <si>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</si>
  <si>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</si>
  <si>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</si>
  <si>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</si>
  <si>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</si>
  <si>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</si>
  <si>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</si>
  <si>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</si>
  <si>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</si>
  <si>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</si>
  <si>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</si>
  <si>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</si>
  <si>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</si>
  <si>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</si>
  <si>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</si>
  <si>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</si>
  <si>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</si>
  <si>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</si>
  <si>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</si>
  <si>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</si>
  <si>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</si>
  <si>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</si>
  <si>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</si>
  <si>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</si>
  <si>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</si>
  <si>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</si>
  <si>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</si>
  <si>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</si>
  <si>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</si>
  <si>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</si>
  <si>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</si>
  <si>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</si>
  <si>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</si>
  <si>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</si>
  <si>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</si>
  <si>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</si>
  <si>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</si>
  <si>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</si>
  <si>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</si>
  <si>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</si>
  <si>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</si>
  <si>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</si>
  <si>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</si>
  <si>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</si>
  <si>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</si>
  <si>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</si>
  <si>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</si>
  <si>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</si>
  <si>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</si>
  <si>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</si>
  <si>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</si>
  <si>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</si>
  <si>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</si>
  <si>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</si>
  <si>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</si>
  <si>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</si>
  <si>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</si>
  <si>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</si>
  <si>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</si>
  <si>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</si>
  <si>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</si>
  <si>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</si>
  <si>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</si>
  <si>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</si>
  <si>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</si>
  <si>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</si>
  <si>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</si>
  <si>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</si>
  <si>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</si>
  <si>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</si>
  <si>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</si>
  <si>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</si>
  <si>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</si>
  <si>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</si>
  <si>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</si>
  <si>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</si>
  <si>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</si>
  <si>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</si>
  <si>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</si>
  <si>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</si>
  <si>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</si>
  <si>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</si>
  <si>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</si>
  <si>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</si>
  <si>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</si>
  <si>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</si>
  <si>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</si>
  <si>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</si>
  <si>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</si>
  <si>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</si>
  <si>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</si>
  <si>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</si>
  <si>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</si>
  <si>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</si>
  <si>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</si>
  <si>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</si>
  <si>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</si>
  <si>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</si>
  <si>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</si>
  <si>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</si>
  <si>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</si>
  <si>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</si>
  <si>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</si>
  <si>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</si>
  <si>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</si>
  <si>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</si>
  <si>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</si>
  <si>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</si>
  <si>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</si>
  <si>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</si>
  <si>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</si>
  <si>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</si>
  <si>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</si>
  <si>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</si>
  <si>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</si>
  <si>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</si>
  <si>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</si>
  <si>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</si>
  <si>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</si>
  <si>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</si>
  <si>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</si>
  <si>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</si>
  <si>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</si>
  <si>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</si>
  <si>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</si>
  <si>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</si>
  <si>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</si>
  <si>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</si>
  <si>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</si>
  <si>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</si>
  <si>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</si>
  <si>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</si>
  <si>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</si>
  <si>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</si>
  <si>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</si>
  <si>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</si>
  <si>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</si>
  <si>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</si>
  <si>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</si>
  <si>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</si>
  <si>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</si>
  <si>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</si>
  <si>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</si>
  <si>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</si>
  <si>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</si>
  <si>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</si>
  <si>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</si>
  <si>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</si>
  <si>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</si>
  <si>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</si>
  <si>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</si>
  <si>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</si>
  <si>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</si>
  <si>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</si>
  <si>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</si>
  <si>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</si>
  <si>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</si>
  <si>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</si>
  <si>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</si>
  <si>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</si>
  <si>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</si>
  <si>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</si>
  <si>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&lt;2900</t>
  </si>
  <si>
    <t>6/28/2027</t>
  </si>
  <si>
    <t>4/14/2017</t>
  </si>
  <si>
    <t>Hollis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</si>
</sst>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2" x14ac:knownFonts="1">
    <font>
      <sz val="8"/>
      <name val="Arial"/>
    </font>
    <font>
      <sz val="11"/>
      <color theme="1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31" fillId="0" borderId="0"/>
    <xf numFmtId="0" fontId="40" fillId="0" borderId="0"/>
  </cellStyleXfs>
  <cellXfs count="304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8" fillId="0" borderId="0" xfId="0" applyFont="1"/>
    <xf numFmtId="4" fontId="5" fillId="0" borderId="0" xfId="15" applyNumberFormat="1" applyFont="1" applyProtection="1">
      <protection locked="0"/>
    </xf>
    <xf numFmtId="4" fontId="5" fillId="0" borderId="0" xfId="15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</cellXfs>
  <cellStyles count="16">
    <cellStyle name="Comma 2" xfId="4"/>
    <cellStyle name="Comma 2 2" xfId="10"/>
    <cellStyle name="Comma 2 3" xfId="6"/>
    <cellStyle name="Comma 2 4" xfId="12"/>
    <cellStyle name="Comma 3" xfId="2"/>
    <cellStyle name="Normal" xfId="0" builtinId="0"/>
    <cellStyle name="Normal 2" xfId="3"/>
    <cellStyle name="Normal 2 2" xfId="5"/>
    <cellStyle name="Normal 2 2 2" xfId="11"/>
    <cellStyle name="Normal 2 3" xfId="14"/>
    <cellStyle name="Normal 3" xfId="7"/>
    <cellStyle name="Normal 4" xfId="8"/>
    <cellStyle name="Normal 4 2" xfId="9"/>
    <cellStyle name="Normal 4 3" xfId="13"/>
    <cellStyle name="Normal 5" xfId="15"/>
    <cellStyle name="Normal 6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915</v>
      </c>
      <c r="B2" s="21">
        <v>259</v>
      </c>
      <c r="C2" s="21">
        <v>259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577330.42+450</f>
        <v>577780.42000000004</v>
      </c>
      <c r="G9" s="18">
        <v>48818.29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479.68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3211.12</v>
      </c>
      <c r="G13" s="18">
        <v>5935.28</v>
      </c>
      <c r="H13" s="18">
        <v>109368.13</v>
      </c>
      <c r="I13" s="18"/>
      <c r="J13" s="67">
        <f>SUM(I442)</f>
        <v>233097.4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60046.09</v>
      </c>
      <c r="G14" s="18">
        <v>0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8818.11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7095.48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648612.79</v>
      </c>
      <c r="G19" s="41">
        <f>SUM(G9:G18)</f>
        <v>63571.68</v>
      </c>
      <c r="H19" s="41">
        <f>SUM(H9:H18)</f>
        <v>109368.13</v>
      </c>
      <c r="I19" s="41">
        <f>SUM(I9:I18)</f>
        <v>0</v>
      </c>
      <c r="J19" s="41">
        <f>SUM(J9:J18)</f>
        <v>233097.4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-29321.38</v>
      </c>
      <c r="G22" s="18">
        <v>-12439.41</v>
      </c>
      <c r="H22" s="18">
        <v>-28608.06</v>
      </c>
      <c r="I22" s="18"/>
      <c r="J22" s="67">
        <f>SUM(I448)</f>
        <v>70369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2068</v>
      </c>
      <c r="G23" s="18">
        <v>628.14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44790.06</v>
      </c>
      <c r="G24" s="18">
        <v>1773.53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74544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720</v>
      </c>
      <c r="G30" s="18">
        <v>18455.2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1475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92800.68</v>
      </c>
      <c r="G32" s="41">
        <f>SUM(G22:G31)</f>
        <v>8417.4600000000009</v>
      </c>
      <c r="H32" s="41">
        <f>SUM(H22:H31)</f>
        <v>-28608.06</v>
      </c>
      <c r="I32" s="41">
        <f>SUM(I22:I31)</f>
        <v>0</v>
      </c>
      <c r="J32" s="41">
        <f>SUM(J22:J31)</f>
        <v>71844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8818.11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7095.48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46336.11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>
        <v>137976.19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158970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152000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161253.4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61901.22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175845.41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555812.11</v>
      </c>
      <c r="G51" s="41">
        <f>SUM(G35:G50)</f>
        <v>55154.22</v>
      </c>
      <c r="H51" s="41">
        <f>SUM(H35:H50)</f>
        <v>137976.19</v>
      </c>
      <c r="I51" s="41">
        <f>SUM(I35:I50)</f>
        <v>0</v>
      </c>
      <c r="J51" s="41">
        <f>SUM(J35:J50)</f>
        <v>161253.4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648612.79</v>
      </c>
      <c r="G52" s="41">
        <f>G51+G32</f>
        <v>63571.68</v>
      </c>
      <c r="H52" s="41">
        <f>H51+H32</f>
        <v>109368.13</v>
      </c>
      <c r="I52" s="41">
        <f>I51+I32</f>
        <v>0</v>
      </c>
      <c r="J52" s="41">
        <f>J51+J32</f>
        <v>233097.4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10875679-1008055.46-1408402</f>
        <v>8459221.5399999991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8459221.5399999991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21840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21840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3539.69</v>
      </c>
      <c r="G96" s="18">
        <v>37.82</v>
      </c>
      <c r="H96" s="18"/>
      <c r="I96" s="18"/>
      <c r="J96" s="18">
        <v>2285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193434.17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13000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9.23+34.23</f>
        <v>43.459999999999994</v>
      </c>
      <c r="G110" s="18"/>
      <c r="H110" s="18">
        <v>149251.82999999999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16583.149999999998</v>
      </c>
      <c r="G111" s="41">
        <f>SUM(G96:G110)</f>
        <v>193471.99000000002</v>
      </c>
      <c r="H111" s="41">
        <f>SUM(H96:H110)</f>
        <v>149251.82999999999</v>
      </c>
      <c r="I111" s="41">
        <f>SUM(I96:I110)</f>
        <v>0</v>
      </c>
      <c r="J111" s="41">
        <f>SUM(J96:J110)</f>
        <v>2285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8497644.6899999995</v>
      </c>
      <c r="G112" s="41">
        <f>G60+G111</f>
        <v>193471.99000000002</v>
      </c>
      <c r="H112" s="41">
        <f>H60+H79+H94+H111</f>
        <v>149251.82999999999</v>
      </c>
      <c r="I112" s="41">
        <f>I60+I111</f>
        <v>0</v>
      </c>
      <c r="J112" s="41">
        <f>J60+J111</f>
        <v>2285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1008055.46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1408402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11545.48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2428002.94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39686.49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3106.23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39686.49</v>
      </c>
      <c r="G136" s="41">
        <f>SUM(G123:G135)</f>
        <v>3106.23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2467689.4300000002</v>
      </c>
      <c r="G140" s="41">
        <f>G121+SUM(G136:G137)</f>
        <v>3106.23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15682.06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28143.4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168434.08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46753.09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11697.57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46753.09</v>
      </c>
      <c r="G162" s="41">
        <f>SUM(G150:G161)</f>
        <v>39840.97</v>
      </c>
      <c r="H162" s="41">
        <f>SUM(H150:H161)</f>
        <v>184116.13999999998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46753.09</v>
      </c>
      <c r="G169" s="41">
        <f>G147+G162+SUM(G163:G168)</f>
        <v>39840.97</v>
      </c>
      <c r="H169" s="41">
        <f>H147+H162+SUM(H163:H168)</f>
        <v>184116.13999999998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79000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79000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79000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11012087.209999999</v>
      </c>
      <c r="G193" s="47">
        <f>G112+G140+G169+G192</f>
        <v>236419.19000000003</v>
      </c>
      <c r="H193" s="47">
        <f>H112+H140+H169+H192</f>
        <v>333367.96999999997</v>
      </c>
      <c r="I193" s="47">
        <f>I112+I140+I169+I192</f>
        <v>0</v>
      </c>
      <c r="J193" s="47">
        <f>J112+J140+J192</f>
        <v>81285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3617923.96</v>
      </c>
      <c r="G197" s="18">
        <f>1566379.42-4675.41</f>
        <v>1561704.01</v>
      </c>
      <c r="H197" s="18">
        <v>11223.03</v>
      </c>
      <c r="I197" s="18">
        <v>106838.93</v>
      </c>
      <c r="J197" s="18">
        <v>10954.83</v>
      </c>
      <c r="K197" s="18">
        <v>1589.85</v>
      </c>
      <c r="L197" s="19">
        <f>SUM(F197:K197)</f>
        <v>5310234.6099999994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980898.44</v>
      </c>
      <c r="G198" s="18">
        <f>268057.46</f>
        <v>268057.46000000002</v>
      </c>
      <c r="H198" s="18">
        <v>19086.830000000002</v>
      </c>
      <c r="I198" s="18">
        <v>17098.259999999998</v>
      </c>
      <c r="J198" s="18">
        <v>3857.01</v>
      </c>
      <c r="K198" s="18">
        <v>575</v>
      </c>
      <c r="L198" s="19">
        <f>SUM(F198:K198)</f>
        <v>1289573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598492.94999999995</v>
      </c>
      <c r="G202" s="18">
        <v>286501.18</v>
      </c>
      <c r="H202" s="18">
        <v>118905.19</v>
      </c>
      <c r="I202" s="18">
        <v>16167.71</v>
      </c>
      <c r="J202" s="18">
        <v>835.85</v>
      </c>
      <c r="K202" s="18">
        <v>300</v>
      </c>
      <c r="L202" s="19">
        <f t="shared" ref="L202:L208" si="0">SUM(F202:K202)</f>
        <v>1021202.8799999998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201555.81</v>
      </c>
      <c r="G203" s="18">
        <f>55828.13+80954.34+4104.1</f>
        <v>140886.57</v>
      </c>
      <c r="H203" s="18">
        <v>797.18</v>
      </c>
      <c r="I203" s="18">
        <v>14752.57</v>
      </c>
      <c r="J203" s="18">
        <v>32198.03</v>
      </c>
      <c r="K203" s="18"/>
      <c r="L203" s="19">
        <f t="shared" si="0"/>
        <v>390190.16000000003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465490.12</v>
      </c>
      <c r="I204" s="18">
        <v>5909.81</v>
      </c>
      <c r="J204" s="18"/>
      <c r="K204" s="18"/>
      <c r="L204" s="19">
        <f t="shared" si="0"/>
        <v>471399.93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445695.36</v>
      </c>
      <c r="G205" s="18">
        <f>216935.89+6053.83</f>
        <v>222989.72</v>
      </c>
      <c r="H205" s="18">
        <v>63144.86</v>
      </c>
      <c r="I205" s="18">
        <v>60711.94</v>
      </c>
      <c r="J205" s="18">
        <v>501.66</v>
      </c>
      <c r="K205" s="18">
        <v>1724.17</v>
      </c>
      <c r="L205" s="19">
        <f t="shared" si="0"/>
        <v>794767.71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1915.96</v>
      </c>
      <c r="L206" s="19">
        <f t="shared" si="0"/>
        <v>1915.96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298182.87</v>
      </c>
      <c r="G207" s="18">
        <v>101766.27</v>
      </c>
      <c r="H207" s="18">
        <f>336888.24+2580.81</f>
        <v>339469.05</v>
      </c>
      <c r="I207" s="18">
        <v>207552.31</v>
      </c>
      <c r="J207" s="18">
        <v>7101.47</v>
      </c>
      <c r="K207" s="18"/>
      <c r="L207" s="19">
        <f t="shared" si="0"/>
        <v>954071.97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335576.96</v>
      </c>
      <c r="I208" s="18">
        <v>43506.93</v>
      </c>
      <c r="J208" s="18"/>
      <c r="K208" s="18"/>
      <c r="L208" s="19">
        <f t="shared" si="0"/>
        <v>379083.89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6142749.3900000006</v>
      </c>
      <c r="G211" s="41">
        <f t="shared" si="1"/>
        <v>2581905.21</v>
      </c>
      <c r="H211" s="41">
        <f t="shared" si="1"/>
        <v>1353693.22</v>
      </c>
      <c r="I211" s="41">
        <f t="shared" si="1"/>
        <v>472538.46</v>
      </c>
      <c r="J211" s="41">
        <f t="shared" si="1"/>
        <v>55448.850000000006</v>
      </c>
      <c r="K211" s="41">
        <f t="shared" si="1"/>
        <v>6104.9800000000005</v>
      </c>
      <c r="L211" s="41">
        <f t="shared" si="1"/>
        <v>10612440.110000001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3275.9</v>
      </c>
      <c r="I255" s="18">
        <v>24986.5</v>
      </c>
      <c r="J255" s="18">
        <v>5000</v>
      </c>
      <c r="K255" s="18"/>
      <c r="L255" s="19">
        <f t="shared" si="6"/>
        <v>33262.400000000001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3275.9</v>
      </c>
      <c r="I256" s="41">
        <f t="shared" si="7"/>
        <v>24986.5</v>
      </c>
      <c r="J256" s="41">
        <f t="shared" si="7"/>
        <v>5000</v>
      </c>
      <c r="K256" s="41">
        <f t="shared" si="7"/>
        <v>0</v>
      </c>
      <c r="L256" s="41">
        <f>SUM(F256:K256)</f>
        <v>33262.400000000001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6142749.3900000006</v>
      </c>
      <c r="G257" s="41">
        <f t="shared" si="8"/>
        <v>2581905.21</v>
      </c>
      <c r="H257" s="41">
        <f t="shared" si="8"/>
        <v>1356969.1199999999</v>
      </c>
      <c r="I257" s="41">
        <f t="shared" si="8"/>
        <v>497524.96</v>
      </c>
      <c r="J257" s="41">
        <f t="shared" si="8"/>
        <v>60448.850000000006</v>
      </c>
      <c r="K257" s="41">
        <f t="shared" si="8"/>
        <v>6104.9800000000005</v>
      </c>
      <c r="L257" s="41">
        <f t="shared" si="8"/>
        <v>10645702.510000002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246855.49</v>
      </c>
      <c r="L260" s="19">
        <f>SUM(F260:K260)</f>
        <v>246855.49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77532</v>
      </c>
      <c r="L261" s="19">
        <f>SUM(F261:K261)</f>
        <v>77532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79000</v>
      </c>
      <c r="L266" s="19">
        <f t="shared" si="9"/>
        <v>79000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403387.49</v>
      </c>
      <c r="L270" s="41">
        <f t="shared" si="9"/>
        <v>403387.49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6142749.3900000006</v>
      </c>
      <c r="G271" s="42">
        <f t="shared" si="11"/>
        <v>2581905.21</v>
      </c>
      <c r="H271" s="42">
        <f t="shared" si="11"/>
        <v>1356969.1199999999</v>
      </c>
      <c r="I271" s="42">
        <f t="shared" si="11"/>
        <v>497524.96</v>
      </c>
      <c r="J271" s="42">
        <f t="shared" si="11"/>
        <v>60448.850000000006</v>
      </c>
      <c r="K271" s="42">
        <f t="shared" si="11"/>
        <v>409492.47</v>
      </c>
      <c r="L271" s="42">
        <f t="shared" si="11"/>
        <v>11049090.000000002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>
        <f>1398.19</f>
        <v>1398.19</v>
      </c>
      <c r="I276" s="18">
        <v>1009.75</v>
      </c>
      <c r="J276" s="18"/>
      <c r="K276" s="18"/>
      <c r="L276" s="19">
        <f>SUM(F276:K276)</f>
        <v>2407.94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160130.69</v>
      </c>
      <c r="G277" s="18"/>
      <c r="H277" s="18"/>
      <c r="I277" s="18"/>
      <c r="J277" s="18"/>
      <c r="K277" s="18"/>
      <c r="L277" s="19">
        <f>SUM(F277:K277)</f>
        <v>160130.69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12767.49</v>
      </c>
      <c r="G279" s="18"/>
      <c r="H279" s="18"/>
      <c r="I279" s="18">
        <v>10357.41</v>
      </c>
      <c r="J279" s="18"/>
      <c r="K279" s="18"/>
      <c r="L279" s="19">
        <f>SUM(F279:K279)</f>
        <v>23124.9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2780</v>
      </c>
      <c r="I281" s="18"/>
      <c r="J281" s="18"/>
      <c r="K281" s="18"/>
      <c r="L281" s="19">
        <f t="shared" ref="L281:L287" si="12">SUM(F281:K281)</f>
        <v>2780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1000</v>
      </c>
      <c r="G282" s="18"/>
      <c r="H282" s="18">
        <v>11902.06</v>
      </c>
      <c r="I282" s="18"/>
      <c r="J282" s="18"/>
      <c r="K282" s="18"/>
      <c r="L282" s="19">
        <f t="shared" si="12"/>
        <v>12902.06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5855.2</v>
      </c>
      <c r="I287" s="18"/>
      <c r="J287" s="18"/>
      <c r="K287" s="18"/>
      <c r="L287" s="19">
        <f t="shared" si="12"/>
        <v>5855.2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173898.18</v>
      </c>
      <c r="G290" s="42">
        <f t="shared" si="13"/>
        <v>0</v>
      </c>
      <c r="H290" s="42">
        <f t="shared" si="13"/>
        <v>21935.45</v>
      </c>
      <c r="I290" s="42">
        <f t="shared" si="13"/>
        <v>11367.16</v>
      </c>
      <c r="J290" s="42">
        <f t="shared" si="13"/>
        <v>0</v>
      </c>
      <c r="K290" s="42">
        <f t="shared" si="13"/>
        <v>0</v>
      </c>
      <c r="L290" s="41">
        <f t="shared" si="13"/>
        <v>207200.79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173898.18</v>
      </c>
      <c r="G338" s="41">
        <f t="shared" si="20"/>
        <v>0</v>
      </c>
      <c r="H338" s="41">
        <f t="shared" si="20"/>
        <v>21935.45</v>
      </c>
      <c r="I338" s="41">
        <f t="shared" si="20"/>
        <v>11367.16</v>
      </c>
      <c r="J338" s="41">
        <f t="shared" si="20"/>
        <v>0</v>
      </c>
      <c r="K338" s="41">
        <f t="shared" si="20"/>
        <v>0</v>
      </c>
      <c r="L338" s="41">
        <f t="shared" si="20"/>
        <v>207200.79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1050</v>
      </c>
      <c r="L344" s="19">
        <f t="shared" ref="L344:L350" si="21">SUM(F344:K344)</f>
        <v>1050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1050</v>
      </c>
      <c r="L351" s="41">
        <f>SUM(L341:L350)</f>
        <v>1050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173898.18</v>
      </c>
      <c r="G352" s="41">
        <f>G338</f>
        <v>0</v>
      </c>
      <c r="H352" s="41">
        <f>H338</f>
        <v>21935.45</v>
      </c>
      <c r="I352" s="41">
        <f>I338</f>
        <v>11367.16</v>
      </c>
      <c r="J352" s="41">
        <f>J338</f>
        <v>0</v>
      </c>
      <c r="K352" s="47">
        <f>K338+K351</f>
        <v>1050</v>
      </c>
      <c r="L352" s="41">
        <f>L338+L351</f>
        <v>208250.79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97849.96</v>
      </c>
      <c r="G358" s="18">
        <v>1487.5</v>
      </c>
      <c r="H358" s="18">
        <v>1108.81</v>
      </c>
      <c r="I358" s="18">
        <v>113032.53</v>
      </c>
      <c r="J358" s="18"/>
      <c r="K358" s="18">
        <v>200</v>
      </c>
      <c r="L358" s="13">
        <f>SUM(F358:K358)</f>
        <v>213678.8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97849.96</v>
      </c>
      <c r="G362" s="47">
        <f t="shared" si="22"/>
        <v>1487.5</v>
      </c>
      <c r="H362" s="47">
        <f t="shared" si="22"/>
        <v>1108.81</v>
      </c>
      <c r="I362" s="47">
        <f t="shared" si="22"/>
        <v>113032.53</v>
      </c>
      <c r="J362" s="47">
        <f t="shared" si="22"/>
        <v>0</v>
      </c>
      <c r="K362" s="47">
        <f t="shared" si="22"/>
        <v>200</v>
      </c>
      <c r="L362" s="47">
        <f t="shared" si="22"/>
        <v>213678.8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88525.71</v>
      </c>
      <c r="G367" s="18"/>
      <c r="H367" s="18"/>
      <c r="I367" s="56">
        <f>SUM(F367:H367)</f>
        <v>88525.71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24506.82</v>
      </c>
      <c r="G368" s="63"/>
      <c r="H368" s="63"/>
      <c r="I368" s="56">
        <f>SUM(F368:H368)</f>
        <v>24506.82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113032.53</v>
      </c>
      <c r="G369" s="47">
        <f>SUM(G367:G368)</f>
        <v>0</v>
      </c>
      <c r="H369" s="47">
        <f>SUM(H367:H368)</f>
        <v>0</v>
      </c>
      <c r="I369" s="47">
        <f>SUM(I367:I368)</f>
        <v>113032.53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13000</v>
      </c>
      <c r="H396" s="18">
        <v>647.33000000000004</v>
      </c>
      <c r="I396" s="18"/>
      <c r="J396" s="24" t="s">
        <v>286</v>
      </c>
      <c r="K396" s="24" t="s">
        <v>286</v>
      </c>
      <c r="L396" s="56">
        <f t="shared" si="26"/>
        <v>13647.33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66000</v>
      </c>
      <c r="H400" s="18">
        <v>1637.67</v>
      </c>
      <c r="I400" s="18"/>
      <c r="J400" s="24" t="s">
        <v>286</v>
      </c>
      <c r="K400" s="24" t="s">
        <v>286</v>
      </c>
      <c r="L400" s="56">
        <f t="shared" si="26"/>
        <v>67637.67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79000</v>
      </c>
      <c r="H401" s="47">
        <f>SUM(H395:H400)</f>
        <v>2285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81285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79000</v>
      </c>
      <c r="H408" s="47">
        <f>H393+H401+H407</f>
        <v>2285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81285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79844</v>
      </c>
      <c r="I422" s="18"/>
      <c r="J422" s="18"/>
      <c r="K422" s="18"/>
      <c r="L422" s="56">
        <f t="shared" si="29"/>
        <v>79844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79844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79844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79844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79844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233097.4</v>
      </c>
      <c r="H442" s="18"/>
      <c r="I442" s="56">
        <f t="shared" si="33"/>
        <v>233097.4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233097.4</v>
      </c>
      <c r="H446" s="13">
        <f>SUM(H439:H445)</f>
        <v>0</v>
      </c>
      <c r="I446" s="13">
        <f>SUM(I439:I445)</f>
        <v>233097.4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70369</v>
      </c>
      <c r="H448" s="18"/>
      <c r="I448" s="56">
        <f>SUM(F448:H448)</f>
        <v>70369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>
        <v>1475</v>
      </c>
      <c r="H451" s="18"/>
      <c r="I451" s="56">
        <f>SUM(F451:H451)</f>
        <v>1475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71844</v>
      </c>
      <c r="H452" s="72">
        <f>SUM(H448:H451)</f>
        <v>0</v>
      </c>
      <c r="I452" s="72">
        <f>SUM(I448:I451)</f>
        <v>71844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161253.4</v>
      </c>
      <c r="H459" s="18"/>
      <c r="I459" s="56">
        <f t="shared" si="34"/>
        <v>161253.4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161253.4</v>
      </c>
      <c r="H460" s="83">
        <f>SUM(H454:H459)</f>
        <v>0</v>
      </c>
      <c r="I460" s="83">
        <f>SUM(I454:I459)</f>
        <v>161253.4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233097.4</v>
      </c>
      <c r="H461" s="42">
        <f>H452+H460</f>
        <v>0</v>
      </c>
      <c r="I461" s="42">
        <f>I452+I460</f>
        <v>233097.4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592814.9</v>
      </c>
      <c r="G465" s="18">
        <v>32413.83</v>
      </c>
      <c r="H465" s="18">
        <v>12859.01</v>
      </c>
      <c r="I465" s="18"/>
      <c r="J465" s="18">
        <v>159812.4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11012087.210000001</v>
      </c>
      <c r="G468" s="18">
        <v>236419.19</v>
      </c>
      <c r="H468" s="18">
        <v>333367.96999999997</v>
      </c>
      <c r="I468" s="18"/>
      <c r="J468" s="18">
        <v>81285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11012087.210000001</v>
      </c>
      <c r="G470" s="53">
        <f>SUM(G468:G469)</f>
        <v>236419.19</v>
      </c>
      <c r="H470" s="53">
        <f>SUM(H468:H469)</f>
        <v>333367.96999999997</v>
      </c>
      <c r="I470" s="53">
        <f>SUM(I468:I469)</f>
        <v>0</v>
      </c>
      <c r="J470" s="53">
        <f>SUM(J468:J469)</f>
        <v>81285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11049090</v>
      </c>
      <c r="G472" s="18">
        <v>213678.8</v>
      </c>
      <c r="H472" s="18">
        <v>208250.79</v>
      </c>
      <c r="I472" s="18"/>
      <c r="J472" s="18">
        <v>79844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11049090</v>
      </c>
      <c r="G474" s="53">
        <f>SUM(G472:G473)</f>
        <v>213678.8</v>
      </c>
      <c r="H474" s="53">
        <f>SUM(H472:H473)</f>
        <v>208250.79</v>
      </c>
      <c r="I474" s="53">
        <f>SUM(I472:I473)</f>
        <v>0</v>
      </c>
      <c r="J474" s="53">
        <f>SUM(J472:J473)</f>
        <v>79844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555812.11000000127</v>
      </c>
      <c r="G476" s="53">
        <f>(G465+G470)- G474</f>
        <v>55154.22000000003</v>
      </c>
      <c r="H476" s="53">
        <f>(H465+H470)- H474</f>
        <v>137976.18999999997</v>
      </c>
      <c r="I476" s="53">
        <f>(I465+I470)- I474</f>
        <v>0</v>
      </c>
      <c r="J476" s="53">
        <f>(J465+J470)- J474</f>
        <v>161253.4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914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2800000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2.7690000000000001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2800000</v>
      </c>
      <c r="G495" s="18"/>
      <c r="H495" s="18"/>
      <c r="I495" s="18"/>
      <c r="J495" s="18"/>
      <c r="K495" s="53">
        <f>SUM(F495:J495)</f>
        <v>2800000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246855.49</v>
      </c>
      <c r="G497" s="18"/>
      <c r="H497" s="18"/>
      <c r="I497" s="18"/>
      <c r="J497" s="18"/>
      <c r="K497" s="53">
        <f t="shared" si="35"/>
        <v>246855.49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2553144.5099999998</v>
      </c>
      <c r="G498" s="204"/>
      <c r="H498" s="204"/>
      <c r="I498" s="204"/>
      <c r="J498" s="204"/>
      <c r="K498" s="205">
        <f t="shared" si="35"/>
        <v>2553144.5099999998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366342.9</v>
      </c>
      <c r="G499" s="18"/>
      <c r="H499" s="18"/>
      <c r="I499" s="18"/>
      <c r="J499" s="18"/>
      <c r="K499" s="53">
        <f t="shared" si="35"/>
        <v>366342.9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2919487.4099999997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2919487.4099999997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253690.92</v>
      </c>
      <c r="G501" s="204"/>
      <c r="H501" s="204"/>
      <c r="I501" s="204"/>
      <c r="J501" s="204"/>
      <c r="K501" s="205">
        <f t="shared" si="35"/>
        <v>253690.92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70696.570000000007</v>
      </c>
      <c r="G502" s="18"/>
      <c r="H502" s="18"/>
      <c r="I502" s="18"/>
      <c r="J502" s="18"/>
      <c r="K502" s="53">
        <f t="shared" si="35"/>
        <v>70696.570000000007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324387.49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324387.49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980898.44-21260.7</f>
        <v>959637.74</v>
      </c>
      <c r="G521" s="18">
        <v>268057.46000000002</v>
      </c>
      <c r="H521" s="18">
        <f>19086.83-7953.67</f>
        <v>11133.160000000002</v>
      </c>
      <c r="I521" s="18">
        <f>17098.26-523.75</f>
        <v>16574.509999999998</v>
      </c>
      <c r="J521" s="18">
        <v>3857.01</v>
      </c>
      <c r="K521" s="18">
        <v>575</v>
      </c>
      <c r="L521" s="88">
        <f>SUM(F521:K521)</f>
        <v>1259834.8799999999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959637.74</v>
      </c>
      <c r="G524" s="108">
        <f t="shared" ref="G524:L524" si="36">SUM(G521:G523)</f>
        <v>268057.46000000002</v>
      </c>
      <c r="H524" s="108">
        <f t="shared" si="36"/>
        <v>11133.160000000002</v>
      </c>
      <c r="I524" s="108">
        <f t="shared" si="36"/>
        <v>16574.509999999998</v>
      </c>
      <c r="J524" s="108">
        <f t="shared" si="36"/>
        <v>3857.01</v>
      </c>
      <c r="K524" s="108">
        <f t="shared" si="36"/>
        <v>575</v>
      </c>
      <c r="L524" s="89">
        <f t="shared" si="36"/>
        <v>1259834.8799999999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598492.94999999995</v>
      </c>
      <c r="G526" s="18">
        <v>286501.18</v>
      </c>
      <c r="H526" s="18">
        <v>118905.19</v>
      </c>
      <c r="I526" s="18">
        <v>16167.71</v>
      </c>
      <c r="J526" s="18">
        <v>835.85</v>
      </c>
      <c r="K526" s="18">
        <v>300</v>
      </c>
      <c r="L526" s="88">
        <f>SUM(F526:K526)</f>
        <v>1021202.8799999998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598492.94999999995</v>
      </c>
      <c r="G529" s="89">
        <f t="shared" ref="G529:L529" si="37">SUM(G526:G528)</f>
        <v>286501.18</v>
      </c>
      <c r="H529" s="89">
        <f t="shared" si="37"/>
        <v>118905.19</v>
      </c>
      <c r="I529" s="89">
        <f t="shared" si="37"/>
        <v>16167.71</v>
      </c>
      <c r="J529" s="89">
        <f t="shared" si="37"/>
        <v>835.85</v>
      </c>
      <c r="K529" s="89">
        <f t="shared" si="37"/>
        <v>300</v>
      </c>
      <c r="L529" s="89">
        <f t="shared" si="37"/>
        <v>1021202.8799999998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55473</v>
      </c>
      <c r="G531" s="18">
        <v>27349.15</v>
      </c>
      <c r="H531" s="18"/>
      <c r="I531" s="18"/>
      <c r="J531" s="18"/>
      <c r="K531" s="18"/>
      <c r="L531" s="88">
        <f>SUM(F531:K531)</f>
        <v>82822.149999999994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55473</v>
      </c>
      <c r="G534" s="89">
        <f t="shared" ref="G534:L534" si="38">SUM(G531:G533)</f>
        <v>27349.15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82822.149999999994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7953.67</v>
      </c>
      <c r="I536" s="18"/>
      <c r="J536" s="18"/>
      <c r="K536" s="18"/>
      <c r="L536" s="88">
        <f>SUM(F536:K536)</f>
        <v>7953.67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7953.67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7953.67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32257</v>
      </c>
      <c r="I541" s="18"/>
      <c r="J541" s="18"/>
      <c r="K541" s="18"/>
      <c r="L541" s="88">
        <f>SUM(F541:K541)</f>
        <v>32257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32257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32257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1613603.69</v>
      </c>
      <c r="G545" s="89">
        <f t="shared" ref="G545:L545" si="41">G524+G529+G534+G539+G544</f>
        <v>581907.79</v>
      </c>
      <c r="H545" s="89">
        <f t="shared" si="41"/>
        <v>170249.02000000002</v>
      </c>
      <c r="I545" s="89">
        <f t="shared" si="41"/>
        <v>32742.219999999998</v>
      </c>
      <c r="J545" s="89">
        <f t="shared" si="41"/>
        <v>4692.8600000000006</v>
      </c>
      <c r="K545" s="89">
        <f t="shared" si="41"/>
        <v>875</v>
      </c>
      <c r="L545" s="89">
        <f t="shared" si="41"/>
        <v>2404070.5799999996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1259834.8799999999</v>
      </c>
      <c r="G549" s="87">
        <f>L526</f>
        <v>1021202.8799999998</v>
      </c>
      <c r="H549" s="87">
        <f>L531</f>
        <v>82822.149999999994</v>
      </c>
      <c r="I549" s="87">
        <f>L536</f>
        <v>7953.67</v>
      </c>
      <c r="J549" s="87">
        <f>L541</f>
        <v>32257</v>
      </c>
      <c r="K549" s="87">
        <f>SUM(F549:J549)</f>
        <v>2404070.5799999996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1259834.8799999999</v>
      </c>
      <c r="G552" s="89">
        <f t="shared" si="42"/>
        <v>1021202.8799999998</v>
      </c>
      <c r="H552" s="89">
        <f t="shared" si="42"/>
        <v>82822.149999999994</v>
      </c>
      <c r="I552" s="89">
        <f t="shared" si="42"/>
        <v>7953.67</v>
      </c>
      <c r="J552" s="89">
        <f t="shared" si="42"/>
        <v>32257</v>
      </c>
      <c r="K552" s="89">
        <f t="shared" si="42"/>
        <v>2404070.5799999996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343963.28</v>
      </c>
      <c r="I591" s="18"/>
      <c r="J591" s="18"/>
      <c r="K591" s="104">
        <f t="shared" ref="K591:K597" si="48">SUM(H591:J591)</f>
        <v>343963.28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32257</v>
      </c>
      <c r="I592" s="18"/>
      <c r="J592" s="18"/>
      <c r="K592" s="104">
        <f t="shared" si="48"/>
        <v>32257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2863.61</v>
      </c>
      <c r="I595" s="18"/>
      <c r="J595" s="18"/>
      <c r="K595" s="104">
        <f t="shared" si="48"/>
        <v>2863.61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379083.89</v>
      </c>
      <c r="I598" s="108">
        <f>SUM(I591:I597)</f>
        <v>0</v>
      </c>
      <c r="J598" s="108">
        <f>SUM(J591:J597)</f>
        <v>0</v>
      </c>
      <c r="K598" s="108">
        <f>SUM(K591:K597)</f>
        <v>379083.89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55448.85</v>
      </c>
      <c r="I604" s="18"/>
      <c r="J604" s="18"/>
      <c r="K604" s="104">
        <f>SUM(H604:J604)</f>
        <v>55448.85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55448.85</v>
      </c>
      <c r="I605" s="108">
        <f>SUM(I602:I604)</f>
        <v>0</v>
      </c>
      <c r="J605" s="108">
        <f>SUM(J602:J604)</f>
        <v>0</v>
      </c>
      <c r="K605" s="108">
        <f>SUM(K602:K604)</f>
        <v>55448.85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24000.35</v>
      </c>
      <c r="G611" s="18"/>
      <c r="H611" s="18">
        <f>5324.76+6669</f>
        <v>11993.76</v>
      </c>
      <c r="I611" s="18">
        <v>65.069999999999993</v>
      </c>
      <c r="J611" s="18"/>
      <c r="K611" s="18"/>
      <c r="L611" s="88">
        <f>SUM(F611:K611)</f>
        <v>36059.18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24000.35</v>
      </c>
      <c r="G614" s="108">
        <f t="shared" si="49"/>
        <v>0</v>
      </c>
      <c r="H614" s="108">
        <f t="shared" si="49"/>
        <v>11993.76</v>
      </c>
      <c r="I614" s="108">
        <f t="shared" si="49"/>
        <v>65.069999999999993</v>
      </c>
      <c r="J614" s="108">
        <f t="shared" si="49"/>
        <v>0</v>
      </c>
      <c r="K614" s="108">
        <f t="shared" si="49"/>
        <v>0</v>
      </c>
      <c r="L614" s="89">
        <f t="shared" si="49"/>
        <v>36059.18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648612.79</v>
      </c>
      <c r="H617" s="109">
        <f>SUM(F52)</f>
        <v>648612.79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63571.68</v>
      </c>
      <c r="H618" s="109">
        <f>SUM(G52)</f>
        <v>63571.68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109368.13</v>
      </c>
      <c r="H619" s="109">
        <f>SUM(H52)</f>
        <v>109368.13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233097.4</v>
      </c>
      <c r="H621" s="109">
        <f>SUM(J52)</f>
        <v>233097.4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555812.11</v>
      </c>
      <c r="H622" s="109">
        <f>F476</f>
        <v>555812.11000000127</v>
      </c>
      <c r="I622" s="121" t="s">
        <v>101</v>
      </c>
      <c r="J622" s="109">
        <f t="shared" ref="J622:J655" si="50">G622-H622</f>
        <v>-1.280568540096283E-9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55154.22</v>
      </c>
      <c r="H623" s="109">
        <f>G476</f>
        <v>55154.22000000003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137976.19</v>
      </c>
      <c r="H624" s="109">
        <f>H476</f>
        <v>137976.18999999997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161253.4</v>
      </c>
      <c r="H626" s="109">
        <f>J476</f>
        <v>161253.4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11012087.209999999</v>
      </c>
      <c r="H627" s="104">
        <f>SUM(F468)</f>
        <v>11012087.210000001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236419.19000000003</v>
      </c>
      <c r="H628" s="104">
        <f>SUM(G468)</f>
        <v>236419.19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333367.96999999997</v>
      </c>
      <c r="H629" s="104">
        <f>SUM(H468)</f>
        <v>333367.96999999997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81285</v>
      </c>
      <c r="H631" s="104">
        <f>SUM(J468)</f>
        <v>81285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11049090.000000002</v>
      </c>
      <c r="H632" s="104">
        <f>SUM(F472)</f>
        <v>11049090</v>
      </c>
      <c r="I632" s="140" t="s">
        <v>111</v>
      </c>
      <c r="J632" s="109">
        <f t="shared" si="50"/>
        <v>0</v>
      </c>
      <c r="K632" s="85" t="s">
        <v>912</v>
      </c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208250.79</v>
      </c>
      <c r="H633" s="104">
        <f>SUM(H472)</f>
        <v>208250.79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113032.53</v>
      </c>
      <c r="H634" s="104">
        <f>I369</f>
        <v>113032.53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213678.8</v>
      </c>
      <c r="H635" s="104">
        <f>SUM(G472)</f>
        <v>213678.8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81285</v>
      </c>
      <c r="H637" s="164">
        <f>SUM(J468)</f>
        <v>81285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79844</v>
      </c>
      <c r="H638" s="164">
        <f>SUM(J472)</f>
        <v>79844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233097.4</v>
      </c>
      <c r="H640" s="104">
        <f>SUM(G461)</f>
        <v>233097.4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233097.4</v>
      </c>
      <c r="H642" s="104">
        <f>SUM(I461)</f>
        <v>233097.4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2285</v>
      </c>
      <c r="H644" s="104">
        <f>H408</f>
        <v>2285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79000</v>
      </c>
      <c r="H645" s="104">
        <f>G408</f>
        <v>79000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81285</v>
      </c>
      <c r="H646" s="104">
        <f>L408</f>
        <v>81285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379083.89</v>
      </c>
      <c r="H647" s="104">
        <f>L208+L226+L244</f>
        <v>379083.89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55448.85</v>
      </c>
      <c r="H648" s="104">
        <f>(J257+J338)-(J255+J336)</f>
        <v>55448.850000000006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379083.89</v>
      </c>
      <c r="H649" s="104">
        <f>H598</f>
        <v>379083.89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79000</v>
      </c>
      <c r="H655" s="104">
        <f>K266+K347</f>
        <v>79000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11033319.700000001</v>
      </c>
      <c r="G660" s="19">
        <f>(L229+L309+L359)</f>
        <v>0</v>
      </c>
      <c r="H660" s="19">
        <f>(L247+L328+L360)</f>
        <v>0</v>
      </c>
      <c r="I660" s="19">
        <f>SUM(F660:H660)</f>
        <v>11033319.700000001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193434.17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193434.17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384939.09</v>
      </c>
      <c r="G662" s="19">
        <f>(L226+L306)-(J226+J306)</f>
        <v>0</v>
      </c>
      <c r="H662" s="19">
        <f>(L244+L325)-(J244+J325)</f>
        <v>0</v>
      </c>
      <c r="I662" s="19">
        <f>SUM(F662:H662)</f>
        <v>384939.09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91508.03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91508.03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10363438.41</v>
      </c>
      <c r="G664" s="19">
        <f>G660-SUM(G661:G663)</f>
        <v>0</v>
      </c>
      <c r="H664" s="19">
        <f>H660-SUM(H661:H663)</f>
        <v>0</v>
      </c>
      <c r="I664" s="19">
        <f>I660-SUM(I661:I663)</f>
        <v>10363438.41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656.33</v>
      </c>
      <c r="G665" s="248"/>
      <c r="H665" s="248"/>
      <c r="I665" s="19">
        <f>SUM(F665:H665)</f>
        <v>656.33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15789.98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15789.98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15789.98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15789.98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Hollis</v>
      </c>
      <c r="C1" s="238" t="s">
        <v>833</v>
      </c>
    </row>
    <row r="2" spans="1:3" x14ac:dyDescent="0.2">
      <c r="A2" s="233"/>
      <c r="B2" s="232"/>
    </row>
    <row r="3" spans="1:3" x14ac:dyDescent="0.2">
      <c r="A3" s="280" t="s">
        <v>778</v>
      </c>
      <c r="B3" s="280"/>
      <c r="C3" s="280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777</v>
      </c>
      <c r="C6" s="279"/>
    </row>
    <row r="7" spans="1:3" x14ac:dyDescent="0.2">
      <c r="A7" s="239" t="s">
        <v>780</v>
      </c>
      <c r="B7" s="277" t="s">
        <v>776</v>
      </c>
      <c r="C7" s="278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3617923.96</v>
      </c>
      <c r="C9" s="229">
        <f>'DOE25'!G197+'DOE25'!G215+'DOE25'!G233+'DOE25'!G276+'DOE25'!G295+'DOE25'!G314</f>
        <v>1561704.01</v>
      </c>
    </row>
    <row r="10" spans="1:3" x14ac:dyDescent="0.2">
      <c r="A10" t="s">
        <v>773</v>
      </c>
      <c r="B10" s="275">
        <v>21559.49</v>
      </c>
      <c r="C10" s="275">
        <v>1496396.6093295999</v>
      </c>
    </row>
    <row r="11" spans="1:3" x14ac:dyDescent="0.2">
      <c r="A11" t="s">
        <v>774</v>
      </c>
      <c r="B11" s="275">
        <v>42655.01</v>
      </c>
      <c r="C11" s="275">
        <v>10962.8295184</v>
      </c>
    </row>
    <row r="12" spans="1:3" x14ac:dyDescent="0.2">
      <c r="A12" t="s">
        <v>775</v>
      </c>
      <c r="B12" s="275">
        <v>3553709.46</v>
      </c>
      <c r="C12" s="275">
        <v>54344.57115200012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3617923.96</v>
      </c>
      <c r="C13" s="231">
        <f>SUM(C10:C12)</f>
        <v>1561704.01</v>
      </c>
    </row>
    <row r="14" spans="1:3" x14ac:dyDescent="0.2">
      <c r="B14" s="230"/>
      <c r="C14" s="230"/>
    </row>
    <row r="15" spans="1:3" x14ac:dyDescent="0.2">
      <c r="B15" s="279" t="s">
        <v>777</v>
      </c>
      <c r="C15" s="279"/>
    </row>
    <row r="16" spans="1:3" x14ac:dyDescent="0.2">
      <c r="A16" s="239" t="s">
        <v>781</v>
      </c>
      <c r="B16" s="277" t="s">
        <v>701</v>
      </c>
      <c r="C16" s="278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1141029.1299999999</v>
      </c>
      <c r="C18" s="229">
        <f>'DOE25'!G198+'DOE25'!G216+'DOE25'!G234+'DOE25'!G277+'DOE25'!G296+'DOE25'!G315</f>
        <v>268057.46000000002</v>
      </c>
    </row>
    <row r="19" spans="1:3" x14ac:dyDescent="0.2">
      <c r="A19" t="s">
        <v>773</v>
      </c>
      <c r="B19" s="276">
        <v>393086.13999999996</v>
      </c>
      <c r="C19" s="276">
        <v>182022.39</v>
      </c>
    </row>
    <row r="20" spans="1:3" x14ac:dyDescent="0.2">
      <c r="A20" t="s">
        <v>774</v>
      </c>
      <c r="B20" s="276">
        <v>692469.99</v>
      </c>
      <c r="C20" s="276">
        <v>58685.919999999998</v>
      </c>
    </row>
    <row r="21" spans="1:3" x14ac:dyDescent="0.2">
      <c r="A21" t="s">
        <v>775</v>
      </c>
      <c r="B21" s="276">
        <v>55473</v>
      </c>
      <c r="C21" s="276">
        <v>27349.15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1141029.1299999999</v>
      </c>
      <c r="C22" s="231">
        <f>SUM(C19:C21)</f>
        <v>268057.46000000002</v>
      </c>
    </row>
    <row r="23" spans="1:3" x14ac:dyDescent="0.2">
      <c r="B23" s="230"/>
      <c r="C23" s="230"/>
    </row>
    <row r="24" spans="1:3" x14ac:dyDescent="0.2">
      <c r="B24" s="279" t="s">
        <v>777</v>
      </c>
      <c r="C24" s="279"/>
    </row>
    <row r="25" spans="1:3" x14ac:dyDescent="0.2">
      <c r="A25" s="239" t="s">
        <v>782</v>
      </c>
      <c r="B25" s="277" t="s">
        <v>702</v>
      </c>
      <c r="C25" s="278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9" t="s">
        <v>783</v>
      </c>
      <c r="B34" s="277" t="s">
        <v>703</v>
      </c>
      <c r="C34" s="278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12767.49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711</v>
      </c>
      <c r="B2" s="265" t="str">
        <f>'DOE25'!A2</f>
        <v>Hollis</v>
      </c>
      <c r="C2" s="181"/>
      <c r="D2" s="181" t="s">
        <v>786</v>
      </c>
      <c r="E2" s="181" t="s">
        <v>788</v>
      </c>
      <c r="F2" s="281" t="s">
        <v>815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6599807.6099999994</v>
      </c>
      <c r="D5" s="20">
        <f>SUM('DOE25'!L197:L200)+SUM('DOE25'!L215:L218)+SUM('DOE25'!L233:L236)-F5-G5</f>
        <v>6582830.9199999999</v>
      </c>
      <c r="E5" s="243"/>
      <c r="F5" s="255">
        <f>SUM('DOE25'!J197:J200)+SUM('DOE25'!J215:J218)+SUM('DOE25'!J233:J236)</f>
        <v>14811.84</v>
      </c>
      <c r="G5" s="53">
        <f>SUM('DOE25'!K197:K200)+SUM('DOE25'!K215:K218)+SUM('DOE25'!K233:K236)</f>
        <v>2164.85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1021202.8799999998</v>
      </c>
      <c r="D6" s="20">
        <f>'DOE25'!L202+'DOE25'!L220+'DOE25'!L238-F6-G6</f>
        <v>1020067.0299999998</v>
      </c>
      <c r="E6" s="243"/>
      <c r="F6" s="255">
        <f>'DOE25'!J202+'DOE25'!J220+'DOE25'!J238</f>
        <v>835.85</v>
      </c>
      <c r="G6" s="53">
        <f>'DOE25'!K202+'DOE25'!K220+'DOE25'!K238</f>
        <v>300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390190.16000000003</v>
      </c>
      <c r="D7" s="20">
        <f>'DOE25'!L203+'DOE25'!L221+'DOE25'!L239-F7-G7</f>
        <v>357992.13</v>
      </c>
      <c r="E7" s="243"/>
      <c r="F7" s="255">
        <f>'DOE25'!J203+'DOE25'!J221+'DOE25'!J239</f>
        <v>32198.03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322940.96999999997</v>
      </c>
      <c r="D8" s="243"/>
      <c r="E8" s="20">
        <f>'DOE25'!L204+'DOE25'!L222+'DOE25'!L240-F8-G8-D9-D11</f>
        <v>322940.96999999997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29572.99</v>
      </c>
      <c r="D9" s="244">
        <v>29572.99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7350</v>
      </c>
      <c r="D10" s="243"/>
      <c r="E10" s="244">
        <v>7350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118885.97</v>
      </c>
      <c r="D11" s="244">
        <v>118885.97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794767.71</v>
      </c>
      <c r="D12" s="20">
        <f>'DOE25'!L205+'DOE25'!L223+'DOE25'!L241-F12-G12</f>
        <v>792541.87999999989</v>
      </c>
      <c r="E12" s="243"/>
      <c r="F12" s="255">
        <f>'DOE25'!J205+'DOE25'!J223+'DOE25'!J241</f>
        <v>501.66</v>
      </c>
      <c r="G12" s="53">
        <f>'DOE25'!K205+'DOE25'!K223+'DOE25'!K241</f>
        <v>1724.17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1915.96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1915.96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954071.97</v>
      </c>
      <c r="D14" s="20">
        <f>'DOE25'!L207+'DOE25'!L225+'DOE25'!L243-F14-G14</f>
        <v>946970.5</v>
      </c>
      <c r="E14" s="243"/>
      <c r="F14" s="255">
        <f>'DOE25'!J207+'DOE25'!J225+'DOE25'!J243</f>
        <v>7101.47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379083.89</v>
      </c>
      <c r="D15" s="20">
        <f>'DOE25'!L208+'DOE25'!L226+'DOE25'!L244-F15-G15</f>
        <v>379083.89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33262.400000000001</v>
      </c>
      <c r="D22" s="243"/>
      <c r="E22" s="243"/>
      <c r="F22" s="255">
        <f>'DOE25'!L255+'DOE25'!L336</f>
        <v>33262.400000000001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324387.49</v>
      </c>
      <c r="D25" s="243"/>
      <c r="E25" s="243"/>
      <c r="F25" s="258"/>
      <c r="G25" s="256"/>
      <c r="H25" s="257">
        <f>'DOE25'!L260+'DOE25'!L261+'DOE25'!L341+'DOE25'!L342</f>
        <v>324387.49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125153.08999999998</v>
      </c>
      <c r="D29" s="20">
        <f>'DOE25'!L358+'DOE25'!L359+'DOE25'!L360-'DOE25'!I367-F29-G29</f>
        <v>124953.08999999998</v>
      </c>
      <c r="E29" s="243"/>
      <c r="F29" s="255">
        <f>'DOE25'!J358+'DOE25'!J359+'DOE25'!J360</f>
        <v>0</v>
      </c>
      <c r="G29" s="53">
        <f>'DOE25'!K358+'DOE25'!K359+'DOE25'!K360</f>
        <v>200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207200.79</v>
      </c>
      <c r="D31" s="20">
        <f>'DOE25'!L290+'DOE25'!L309+'DOE25'!L328+'DOE25'!L333+'DOE25'!L334+'DOE25'!L335-F31-G31</f>
        <v>207200.79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10560099.189999998</v>
      </c>
      <c r="E33" s="246">
        <f>SUM(E5:E31)</f>
        <v>330290.96999999997</v>
      </c>
      <c r="F33" s="246">
        <f>SUM(F5:F31)</f>
        <v>88711.25</v>
      </c>
      <c r="G33" s="246">
        <f>SUM(G5:G31)</f>
        <v>6304.9800000000005</v>
      </c>
      <c r="H33" s="246">
        <f>SUM(H5:H31)</f>
        <v>324387.49</v>
      </c>
    </row>
    <row r="35" spans="2:8" ht="12" thickBot="1" x14ac:dyDescent="0.25">
      <c r="B35" s="253" t="s">
        <v>841</v>
      </c>
      <c r="D35" s="254">
        <f>E33</f>
        <v>330290.96999999997</v>
      </c>
      <c r="E35" s="249"/>
    </row>
    <row r="36" spans="2:8" ht="12" thickTop="1" x14ac:dyDescent="0.2">
      <c r="B36" t="s">
        <v>809</v>
      </c>
      <c r="D36" s="20">
        <f>D33</f>
        <v>10560099.189999998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577780.42000000004</v>
      </c>
      <c r="D8" s="95">
        <f>'DOE25'!G9</f>
        <v>48818.29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479.68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3211.12</v>
      </c>
      <c r="D12" s="95">
        <f>'DOE25'!G13</f>
        <v>5935.28</v>
      </c>
      <c r="E12" s="95">
        <f>'DOE25'!H13</f>
        <v>109368.13</v>
      </c>
      <c r="F12" s="95">
        <f>'DOE25'!I13</f>
        <v>0</v>
      </c>
      <c r="G12" s="95">
        <f>'DOE25'!J13</f>
        <v>233097.4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60046.09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8818.11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7095.48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648612.79</v>
      </c>
      <c r="D18" s="41">
        <f>SUM(D8:D17)</f>
        <v>63571.68</v>
      </c>
      <c r="E18" s="41">
        <f>SUM(E8:E17)</f>
        <v>109368.13</v>
      </c>
      <c r="F18" s="41">
        <f>SUM(F8:F17)</f>
        <v>0</v>
      </c>
      <c r="G18" s="41">
        <f>SUM(G8:G17)</f>
        <v>233097.4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-29321.38</v>
      </c>
      <c r="D21" s="95">
        <f>'DOE25'!G22</f>
        <v>-12439.41</v>
      </c>
      <c r="E21" s="95">
        <f>'DOE25'!H22</f>
        <v>-28608.06</v>
      </c>
      <c r="F21" s="95">
        <f>'DOE25'!I22</f>
        <v>0</v>
      </c>
      <c r="G21" s="95">
        <f>'DOE25'!J22</f>
        <v>70369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2068</v>
      </c>
      <c r="D22" s="95">
        <f>'DOE25'!G23</f>
        <v>628.14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44790.06</v>
      </c>
      <c r="D23" s="95">
        <f>'DOE25'!G24</f>
        <v>1773.53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74544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720</v>
      </c>
      <c r="D29" s="95">
        <f>'DOE25'!G30</f>
        <v>18455.2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1475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92800.68</v>
      </c>
      <c r="D31" s="41">
        <f>SUM(D21:D30)</f>
        <v>8417.4600000000009</v>
      </c>
      <c r="E31" s="41">
        <f>SUM(E21:E30)</f>
        <v>-28608.06</v>
      </c>
      <c r="F31" s="41">
        <f>SUM(F21:F30)</f>
        <v>0</v>
      </c>
      <c r="G31" s="41">
        <f>SUM(G21:G30)</f>
        <v>71844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8818.11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7095.48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46336.11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137976.19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158970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152000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161253.4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61901.22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175845.41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555812.11</v>
      </c>
      <c r="D50" s="41">
        <f>SUM(D34:D49)</f>
        <v>55154.22</v>
      </c>
      <c r="E50" s="41">
        <f>SUM(E34:E49)</f>
        <v>137976.19</v>
      </c>
      <c r="F50" s="41">
        <f>SUM(F34:F49)</f>
        <v>0</v>
      </c>
      <c r="G50" s="41">
        <f>SUM(G34:G49)</f>
        <v>161253.4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648612.79</v>
      </c>
      <c r="D51" s="41">
        <f>D50+D31</f>
        <v>63571.68</v>
      </c>
      <c r="E51" s="41">
        <f>E50+E31</f>
        <v>109368.13</v>
      </c>
      <c r="F51" s="41">
        <f>F50+F31</f>
        <v>0</v>
      </c>
      <c r="G51" s="41">
        <f>G50+G31</f>
        <v>233097.4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8459221.5399999991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21840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3539.69</v>
      </c>
      <c r="D59" s="95">
        <f>'DOE25'!G96</f>
        <v>37.82</v>
      </c>
      <c r="E59" s="95">
        <f>'DOE25'!H96</f>
        <v>0</v>
      </c>
      <c r="F59" s="95">
        <f>'DOE25'!I96</f>
        <v>0</v>
      </c>
      <c r="G59" s="95">
        <f>'DOE25'!J96</f>
        <v>2285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193434.17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13043.46</v>
      </c>
      <c r="D61" s="95">
        <f>SUM('DOE25'!G98:G110)</f>
        <v>0</v>
      </c>
      <c r="E61" s="95">
        <f>SUM('DOE25'!H98:H110)</f>
        <v>149251.82999999999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38423.149999999994</v>
      </c>
      <c r="D62" s="130">
        <f>SUM(D57:D61)</f>
        <v>193471.99000000002</v>
      </c>
      <c r="E62" s="130">
        <f>SUM(E57:E61)</f>
        <v>149251.82999999999</v>
      </c>
      <c r="F62" s="130">
        <f>SUM(F57:F61)</f>
        <v>0</v>
      </c>
      <c r="G62" s="130">
        <f>SUM(G57:G61)</f>
        <v>2285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8497644.6899999995</v>
      </c>
      <c r="D63" s="22">
        <f>D56+D62</f>
        <v>193471.99000000002</v>
      </c>
      <c r="E63" s="22">
        <f>E56+E62</f>
        <v>149251.82999999999</v>
      </c>
      <c r="F63" s="22">
        <f>F56+F62</f>
        <v>0</v>
      </c>
      <c r="G63" s="22">
        <f>G56+G62</f>
        <v>2285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1008055.46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1408402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11545.48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2428002.94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39686.49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3106.23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39686.49</v>
      </c>
      <c r="D78" s="130">
        <f>SUM(D72:D77)</f>
        <v>3106.23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2467689.4300000002</v>
      </c>
      <c r="D81" s="130">
        <f>SUM(D79:D80)+D78+D70</f>
        <v>3106.23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46753.09</v>
      </c>
      <c r="D88" s="95">
        <f>SUM('DOE25'!G153:G161)</f>
        <v>39840.97</v>
      </c>
      <c r="E88" s="95">
        <f>SUM('DOE25'!H153:H161)</f>
        <v>184116.13999999998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46753.09</v>
      </c>
      <c r="D91" s="131">
        <f>SUM(D85:D90)</f>
        <v>39840.97</v>
      </c>
      <c r="E91" s="131">
        <f>SUM(E85:E90)</f>
        <v>184116.13999999998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79000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79000</v>
      </c>
    </row>
    <row r="104" spans="1:7" ht="12.75" thickTop="1" thickBot="1" x14ac:dyDescent="0.25">
      <c r="A104" s="33" t="s">
        <v>759</v>
      </c>
      <c r="C104" s="86">
        <f>C63+C81+C91+C103</f>
        <v>11012087.209999999</v>
      </c>
      <c r="D104" s="86">
        <f>D63+D81+D91+D103</f>
        <v>236419.19000000003</v>
      </c>
      <c r="E104" s="86">
        <f>E63+E81+E91+E103</f>
        <v>333367.96999999997</v>
      </c>
      <c r="F104" s="86">
        <f>F63+F81+F91+F103</f>
        <v>0</v>
      </c>
      <c r="G104" s="86">
        <f>G63+G81+G103</f>
        <v>81285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5310234.6099999994</v>
      </c>
      <c r="D109" s="24" t="s">
        <v>286</v>
      </c>
      <c r="E109" s="95">
        <f>('DOE25'!L276)+('DOE25'!L295)+('DOE25'!L314)</f>
        <v>2407.94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1289573</v>
      </c>
      <c r="D110" s="24" t="s">
        <v>286</v>
      </c>
      <c r="E110" s="95">
        <f>('DOE25'!L277)+('DOE25'!L296)+('DOE25'!L315)</f>
        <v>160130.69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23124.9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6599807.6099999994</v>
      </c>
      <c r="D115" s="86">
        <f>SUM(D109:D114)</f>
        <v>0</v>
      </c>
      <c r="E115" s="86">
        <f>SUM(E109:E114)</f>
        <v>185663.53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1021202.8799999998</v>
      </c>
      <c r="D118" s="24" t="s">
        <v>286</v>
      </c>
      <c r="E118" s="95">
        <f>+('DOE25'!L281)+('DOE25'!L300)+('DOE25'!L319)</f>
        <v>2780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390190.16000000003</v>
      </c>
      <c r="D119" s="24" t="s">
        <v>286</v>
      </c>
      <c r="E119" s="95">
        <f>+('DOE25'!L282)+('DOE25'!L301)+('DOE25'!L320)</f>
        <v>12902.06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471399.93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794767.71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1915.96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954071.97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379083.89</v>
      </c>
      <c r="D124" s="24" t="s">
        <v>286</v>
      </c>
      <c r="E124" s="95">
        <f>+('DOE25'!L287)+('DOE25'!L306)+('DOE25'!L325)</f>
        <v>5855.2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213678.8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4012632.4999999995</v>
      </c>
      <c r="D128" s="86">
        <f>SUM(D118:D127)</f>
        <v>213678.8</v>
      </c>
      <c r="E128" s="86">
        <f>SUM(E118:E127)</f>
        <v>21537.26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33262.400000000001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246855.49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77532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1050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81285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-2285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436649.89</v>
      </c>
      <c r="D144" s="141">
        <f>SUM(D130:D143)</f>
        <v>0</v>
      </c>
      <c r="E144" s="141">
        <f>SUM(E130:E143)</f>
        <v>1050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11049090</v>
      </c>
      <c r="D145" s="86">
        <f>(D115+D128+D144)</f>
        <v>213678.8</v>
      </c>
      <c r="E145" s="86">
        <f>(E115+E128+E144)</f>
        <v>208250.79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4/14/2017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6/28/2027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2800000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2.7690000000000001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2800000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246855.49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246855.49</v>
      </c>
    </row>
    <row r="159" spans="1:9" x14ac:dyDescent="0.2">
      <c r="A159" s="22" t="s">
        <v>35</v>
      </c>
      <c r="B159" s="137">
        <f>'DOE25'!F498</f>
        <v>2553144.5099999998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2553144.5099999998</v>
      </c>
    </row>
    <row r="160" spans="1:9" x14ac:dyDescent="0.2">
      <c r="A160" s="22" t="s">
        <v>36</v>
      </c>
      <c r="B160" s="137">
        <f>'DOE25'!F499</f>
        <v>366342.9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366342.9</v>
      </c>
    </row>
    <row r="161" spans="1:7" x14ac:dyDescent="0.2">
      <c r="A161" s="22" t="s">
        <v>37</v>
      </c>
      <c r="B161" s="137">
        <f>'DOE25'!F500</f>
        <v>2919487.4099999997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2919487.4099999997</v>
      </c>
    </row>
    <row r="162" spans="1:7" x14ac:dyDescent="0.2">
      <c r="A162" s="22" t="s">
        <v>38</v>
      </c>
      <c r="B162" s="137">
        <f>'DOE25'!F501</f>
        <v>253690.92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253690.92</v>
      </c>
    </row>
    <row r="163" spans="1:7" x14ac:dyDescent="0.2">
      <c r="A163" s="22" t="s">
        <v>39</v>
      </c>
      <c r="B163" s="137">
        <f>'DOE25'!F502</f>
        <v>70696.570000000007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70696.570000000007</v>
      </c>
    </row>
    <row r="164" spans="1:7" x14ac:dyDescent="0.2">
      <c r="A164" s="22" t="s">
        <v>246</v>
      </c>
      <c r="B164" s="137">
        <f>'DOE25'!F503</f>
        <v>324387.49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324387.49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7" t="s">
        <v>711</v>
      </c>
      <c r="B2" s="186" t="str">
        <f>'DOE25'!A2</f>
        <v>Hollis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15790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15790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5312643</v>
      </c>
      <c r="D10" s="182">
        <f>ROUND((C10/$C$28)*100,1)</f>
        <v>48.7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1449704</v>
      </c>
      <c r="D11" s="182">
        <f>ROUND((C11/$C$28)*100,1)</f>
        <v>13.3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23125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1023983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403092</v>
      </c>
      <c r="D16" s="182">
        <f t="shared" si="0"/>
        <v>3.7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471400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794768</v>
      </c>
      <c r="D18" s="182">
        <f t="shared" si="0"/>
        <v>7.3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1916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954072</v>
      </c>
      <c r="D20" s="182">
        <f t="shared" si="0"/>
        <v>8.6999999999999993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384939</v>
      </c>
      <c r="D21" s="182">
        <f t="shared" si="0"/>
        <v>3.5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77532</v>
      </c>
      <c r="D25" s="182">
        <f t="shared" si="0"/>
        <v>0.7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20244.829999999987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10917418.83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33262</v>
      </c>
    </row>
    <row r="30" spans="1:4" x14ac:dyDescent="0.2">
      <c r="B30" s="187" t="s">
        <v>723</v>
      </c>
      <c r="C30" s="180">
        <f>SUM(C28:C29)</f>
        <v>10950680.83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246855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8459222</v>
      </c>
      <c r="D35" s="182">
        <f t="shared" ref="D35:D40" si="1">ROUND((C35/$C$41)*100,1)</f>
        <v>74.3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189997.33999999985</v>
      </c>
      <c r="D36" s="182">
        <f t="shared" si="1"/>
        <v>1.7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2416457</v>
      </c>
      <c r="D37" s="182">
        <f t="shared" si="1"/>
        <v>21.2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54338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270710</v>
      </c>
      <c r="D39" s="182">
        <f t="shared" si="1"/>
        <v>2.4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11390724.34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761</v>
      </c>
      <c r="B2" s="297"/>
      <c r="C2" s="297"/>
      <c r="D2" s="297"/>
      <c r="E2" s="297"/>
      <c r="F2" s="294" t="str">
        <f>'DOE25'!A2</f>
        <v>Hollis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842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2018-10-05T11:55:49Z</cp:lastPrinted>
  <dcterms:created xsi:type="dcterms:W3CDTF">1997-12-04T19:04:30Z</dcterms:created>
  <dcterms:modified xsi:type="dcterms:W3CDTF">2018-11-13T19:53:25Z</dcterms:modified>
</cp:coreProperties>
</file>