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4000" windowHeight="9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3" i="1" l="1"/>
  <c r="G523" i="1"/>
  <c r="F523" i="1"/>
  <c r="I527" i="1"/>
  <c r="H527" i="1"/>
  <c r="G527" i="1"/>
  <c r="F527" i="1"/>
  <c r="I522" i="1"/>
  <c r="G522" i="1"/>
  <c r="F522" i="1"/>
  <c r="H522" i="1"/>
  <c r="H532" i="1"/>
  <c r="H531" i="1"/>
  <c r="I526" i="1"/>
  <c r="G526" i="1"/>
  <c r="F526" i="1"/>
  <c r="H526" i="1"/>
  <c r="I521" i="1"/>
  <c r="G521" i="1"/>
  <c r="F521" i="1"/>
  <c r="K521" i="1"/>
  <c r="H521" i="1"/>
  <c r="H528" i="1"/>
  <c r="G528" i="1"/>
  <c r="F528" i="1"/>
  <c r="I528" i="1"/>
  <c r="J533" i="1"/>
  <c r="J532" i="1"/>
  <c r="J531" i="1"/>
  <c r="I533" i="1"/>
  <c r="I532" i="1"/>
  <c r="I531" i="1"/>
  <c r="H533" i="1"/>
  <c r="G533" i="1"/>
  <c r="G532" i="1"/>
  <c r="G531" i="1"/>
  <c r="F533" i="1"/>
  <c r="F532" i="1"/>
  <c r="F531" i="1"/>
  <c r="J522" i="1"/>
  <c r="J521" i="1"/>
  <c r="I562" i="1" l="1"/>
  <c r="I563" i="1"/>
  <c r="G563" i="1"/>
  <c r="F563" i="1"/>
  <c r="H208" i="1" l="1"/>
  <c r="H226" i="1"/>
  <c r="K227" i="1"/>
  <c r="J227" i="1"/>
  <c r="I227" i="1"/>
  <c r="H227" i="1"/>
  <c r="G227" i="1"/>
  <c r="F227" i="1"/>
  <c r="I225" i="1"/>
  <c r="H225" i="1"/>
  <c r="G225" i="1"/>
  <c r="F225" i="1"/>
  <c r="H223" i="1"/>
  <c r="H222" i="1"/>
  <c r="K222" i="1"/>
  <c r="I222" i="1"/>
  <c r="G222" i="1"/>
  <c r="F222" i="1"/>
  <c r="G221" i="1"/>
  <c r="F221" i="1"/>
  <c r="I221" i="1"/>
  <c r="H221" i="1"/>
  <c r="K220" i="1"/>
  <c r="H220" i="1"/>
  <c r="G220" i="1"/>
  <c r="F220" i="1"/>
  <c r="I220" i="1"/>
  <c r="G216" i="1"/>
  <c r="F216" i="1"/>
  <c r="H216" i="1"/>
  <c r="J216" i="1"/>
  <c r="I216" i="1"/>
  <c r="K215" i="1"/>
  <c r="G215" i="1"/>
  <c r="F215" i="1"/>
  <c r="G234" i="1"/>
  <c r="F234" i="1"/>
  <c r="K209" i="1"/>
  <c r="J209" i="1"/>
  <c r="I209" i="1"/>
  <c r="H209" i="1"/>
  <c r="G209" i="1"/>
  <c r="F209" i="1"/>
  <c r="I207" i="1"/>
  <c r="H207" i="1"/>
  <c r="G207" i="1"/>
  <c r="F207" i="1"/>
  <c r="H205" i="1"/>
  <c r="H204" i="1"/>
  <c r="K204" i="1"/>
  <c r="I204" i="1"/>
  <c r="G204" i="1"/>
  <c r="F204" i="1"/>
  <c r="G203" i="1"/>
  <c r="F203" i="1"/>
  <c r="I203" i="1"/>
  <c r="H203" i="1"/>
  <c r="K202" i="1"/>
  <c r="H202" i="1"/>
  <c r="G202" i="1"/>
  <c r="F202" i="1"/>
  <c r="I202" i="1"/>
  <c r="G198" i="1"/>
  <c r="F198" i="1"/>
  <c r="H198" i="1"/>
  <c r="J198" i="1"/>
  <c r="I198" i="1"/>
  <c r="K197" i="1"/>
  <c r="G197" i="1"/>
  <c r="F197" i="1"/>
  <c r="I612" i="1"/>
  <c r="G612" i="1"/>
  <c r="F612" i="1"/>
  <c r="G442" i="1"/>
  <c r="H255" i="1"/>
  <c r="J207" i="1"/>
  <c r="K205" i="1"/>
  <c r="I205" i="1"/>
  <c r="F205" i="1"/>
  <c r="K203" i="1"/>
  <c r="J203" i="1"/>
  <c r="J202" i="1"/>
  <c r="J200" i="1"/>
  <c r="I200" i="1"/>
  <c r="H200" i="1"/>
  <c r="G200" i="1"/>
  <c r="F200" i="1"/>
  <c r="K198" i="1"/>
  <c r="J197" i="1"/>
  <c r="I197" i="1"/>
  <c r="H197" i="1"/>
  <c r="J225" i="1"/>
  <c r="K223" i="1"/>
  <c r="J223" i="1"/>
  <c r="I223" i="1"/>
  <c r="G223" i="1"/>
  <c r="F223" i="1"/>
  <c r="K221" i="1"/>
  <c r="J221" i="1"/>
  <c r="J220" i="1" l="1"/>
  <c r="I218" i="1"/>
  <c r="G218" i="1"/>
  <c r="F218" i="1"/>
  <c r="K218" i="1"/>
  <c r="J218" i="1"/>
  <c r="H218" i="1"/>
  <c r="J215" i="1"/>
  <c r="I215" i="1"/>
  <c r="H215" i="1"/>
  <c r="H234" i="1"/>
  <c r="H233" i="1"/>
  <c r="F101" i="1" l="1"/>
  <c r="F14" i="1" l="1"/>
  <c r="G367" i="1" l="1"/>
  <c r="G368" i="1"/>
  <c r="F368" i="1"/>
  <c r="F367" i="1"/>
  <c r="H359" i="1"/>
  <c r="G359" i="1"/>
  <c r="F359" i="1"/>
  <c r="H358" i="1"/>
  <c r="G358" i="1"/>
  <c r="F358" i="1"/>
  <c r="K359" i="1"/>
  <c r="K358" i="1"/>
  <c r="I359" i="1"/>
  <c r="I358" i="1"/>
  <c r="G158" i="1"/>
  <c r="G13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21" i="2" s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20" i="10"/>
  <c r="L250" i="1"/>
  <c r="L332" i="1"/>
  <c r="L254" i="1"/>
  <c r="C25" i="10"/>
  <c r="L268" i="1"/>
  <c r="L269" i="1"/>
  <c r="L349" i="1"/>
  <c r="L350" i="1"/>
  <c r="I665" i="1"/>
  <c r="I670" i="1"/>
  <c r="L247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3" i="2"/>
  <c r="C114" i="2"/>
  <c r="E114" i="2"/>
  <c r="D115" i="2"/>
  <c r="F115" i="2"/>
  <c r="G115" i="2"/>
  <c r="E120" i="2"/>
  <c r="E121" i="2"/>
  <c r="C122" i="2"/>
  <c r="E123" i="2"/>
  <c r="E124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I460" i="1"/>
  <c r="I461" i="1" s="1"/>
  <c r="H642" i="1" s="1"/>
  <c r="H461" i="1"/>
  <c r="H641" i="1" s="1"/>
  <c r="J641" i="1" s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G642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28" i="1"/>
  <c r="L351" i="1"/>
  <c r="A40" i="12"/>
  <c r="D18" i="13"/>
  <c r="C18" i="13" s="1"/>
  <c r="D18" i="2"/>
  <c r="D17" i="13"/>
  <c r="C17" i="13" s="1"/>
  <c r="F78" i="2"/>
  <c r="F81" i="2" s="1"/>
  <c r="D50" i="2"/>
  <c r="F18" i="2"/>
  <c r="G156" i="2"/>
  <c r="E103" i="2"/>
  <c r="E31" i="2"/>
  <c r="G62" i="2"/>
  <c r="D19" i="13"/>
  <c r="C19" i="13" s="1"/>
  <c r="E13" i="13"/>
  <c r="C13" i="13" s="1"/>
  <c r="E78" i="2"/>
  <c r="E81" i="2" s="1"/>
  <c r="H112" i="1"/>
  <c r="L433" i="1"/>
  <c r="L419" i="1"/>
  <c r="D81" i="2"/>
  <c r="I169" i="1"/>
  <c r="J476" i="1"/>
  <c r="H626" i="1" s="1"/>
  <c r="H476" i="1"/>
  <c r="H624" i="1" s="1"/>
  <c r="I476" i="1"/>
  <c r="H625" i="1" s="1"/>
  <c r="J625" i="1" s="1"/>
  <c r="F169" i="1"/>
  <c r="J140" i="1"/>
  <c r="G22" i="2"/>
  <c r="K545" i="1"/>
  <c r="C29" i="10"/>
  <c r="H140" i="1"/>
  <c r="L401" i="1"/>
  <c r="C139" i="2" s="1"/>
  <c r="L393" i="1"/>
  <c r="C138" i="2" s="1"/>
  <c r="F22" i="13"/>
  <c r="C22" i="13" s="1"/>
  <c r="H25" i="13"/>
  <c r="C25" i="13" s="1"/>
  <c r="L560" i="1"/>
  <c r="J545" i="1"/>
  <c r="G192" i="1"/>
  <c r="H192" i="1"/>
  <c r="C35" i="10"/>
  <c r="J636" i="1"/>
  <c r="G36" i="2"/>
  <c r="A13" i="12" l="1"/>
  <c r="J552" i="1"/>
  <c r="L544" i="1"/>
  <c r="I552" i="1"/>
  <c r="L539" i="1"/>
  <c r="G552" i="1"/>
  <c r="L529" i="1"/>
  <c r="K551" i="1"/>
  <c r="H552" i="1"/>
  <c r="L534" i="1"/>
  <c r="K550" i="1"/>
  <c r="K549" i="1"/>
  <c r="I545" i="1"/>
  <c r="H545" i="1"/>
  <c r="G545" i="1"/>
  <c r="F552" i="1"/>
  <c r="L524" i="1"/>
  <c r="K571" i="1"/>
  <c r="I571" i="1"/>
  <c r="H571" i="1"/>
  <c r="L570" i="1"/>
  <c r="F571" i="1"/>
  <c r="L565" i="1"/>
  <c r="L571" i="1" s="1"/>
  <c r="J651" i="1"/>
  <c r="C125" i="2"/>
  <c r="C120" i="2"/>
  <c r="E8" i="13"/>
  <c r="C8" i="13" s="1"/>
  <c r="J622" i="1"/>
  <c r="K503" i="1"/>
  <c r="H33" i="13"/>
  <c r="H408" i="1"/>
  <c r="H644" i="1" s="1"/>
  <c r="J644" i="1" s="1"/>
  <c r="K500" i="1"/>
  <c r="C123" i="2"/>
  <c r="D7" i="13"/>
  <c r="C7" i="13" s="1"/>
  <c r="C16" i="10"/>
  <c r="D6" i="13"/>
  <c r="C6" i="13" s="1"/>
  <c r="C112" i="2"/>
  <c r="H257" i="1"/>
  <c r="H271" i="1" s="1"/>
  <c r="K598" i="1"/>
  <c r="G647" i="1" s="1"/>
  <c r="I662" i="1"/>
  <c r="D14" i="13"/>
  <c r="C14" i="13" s="1"/>
  <c r="C13" i="10"/>
  <c r="H660" i="1"/>
  <c r="C78" i="2"/>
  <c r="C70" i="2"/>
  <c r="F112" i="1"/>
  <c r="C36" i="10" s="1"/>
  <c r="C62" i="2"/>
  <c r="C63" i="2" s="1"/>
  <c r="J617" i="1"/>
  <c r="D15" i="13"/>
  <c r="C15" i="13" s="1"/>
  <c r="C21" i="10"/>
  <c r="G649" i="1"/>
  <c r="J649" i="1" s="1"/>
  <c r="H647" i="1"/>
  <c r="C124" i="2"/>
  <c r="C17" i="10"/>
  <c r="E16" i="13"/>
  <c r="C16" i="13" s="1"/>
  <c r="C119" i="2"/>
  <c r="E125" i="2"/>
  <c r="L309" i="1"/>
  <c r="H338" i="1"/>
  <c r="H352" i="1" s="1"/>
  <c r="G338" i="1"/>
  <c r="G352" i="1" s="1"/>
  <c r="E119" i="2"/>
  <c r="E112" i="2"/>
  <c r="E110" i="2"/>
  <c r="E109" i="2"/>
  <c r="C19" i="10"/>
  <c r="J338" i="1"/>
  <c r="J352" i="1" s="1"/>
  <c r="L290" i="1"/>
  <c r="C18" i="10"/>
  <c r="C118" i="2"/>
  <c r="C15" i="10"/>
  <c r="C110" i="2"/>
  <c r="L229" i="1"/>
  <c r="J257" i="1"/>
  <c r="J271" i="1" s="1"/>
  <c r="C10" i="10"/>
  <c r="I257" i="1"/>
  <c r="I271" i="1" s="1"/>
  <c r="K257" i="1"/>
  <c r="K271" i="1" s="1"/>
  <c r="D12" i="13"/>
  <c r="C12" i="13" s="1"/>
  <c r="D5" i="13"/>
  <c r="C5" i="13" s="1"/>
  <c r="C11" i="10"/>
  <c r="L211" i="1"/>
  <c r="C109" i="2"/>
  <c r="F257" i="1"/>
  <c r="F271" i="1" s="1"/>
  <c r="G476" i="1"/>
  <c r="H623" i="1" s="1"/>
  <c r="J623" i="1" s="1"/>
  <c r="J634" i="1"/>
  <c r="L362" i="1"/>
  <c r="C27" i="10" s="1"/>
  <c r="F661" i="1"/>
  <c r="D29" i="13"/>
  <c r="C29" i="13" s="1"/>
  <c r="D127" i="2"/>
  <c r="D128" i="2" s="1"/>
  <c r="D145" i="2" s="1"/>
  <c r="H661" i="1"/>
  <c r="G661" i="1"/>
  <c r="J639" i="1"/>
  <c r="G257" i="1"/>
  <c r="G271" i="1" s="1"/>
  <c r="G645" i="1"/>
  <c r="J645" i="1" s="1"/>
  <c r="G81" i="2"/>
  <c r="J624" i="1"/>
  <c r="G6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L545" i="1" l="1"/>
  <c r="K552" i="1"/>
  <c r="H646" i="1"/>
  <c r="J647" i="1"/>
  <c r="C128" i="2"/>
  <c r="H664" i="1"/>
  <c r="H672" i="1" s="1"/>
  <c r="C6" i="10" s="1"/>
  <c r="C81" i="2"/>
  <c r="C104" i="2" s="1"/>
  <c r="F193" i="1"/>
  <c r="G627" i="1" s="1"/>
  <c r="J627" i="1" s="1"/>
  <c r="E33" i="13"/>
  <c r="D35" i="13" s="1"/>
  <c r="E128" i="2"/>
  <c r="G660" i="1"/>
  <c r="E115" i="2"/>
  <c r="L338" i="1"/>
  <c r="L352" i="1" s="1"/>
  <c r="G633" i="1" s="1"/>
  <c r="J633" i="1" s="1"/>
  <c r="F660" i="1"/>
  <c r="F664" i="1" s="1"/>
  <c r="F672" i="1" s="1"/>
  <c r="C4" i="10" s="1"/>
  <c r="C115" i="2"/>
  <c r="C28" i="10"/>
  <c r="D12" i="10" s="1"/>
  <c r="H648" i="1"/>
  <c r="J648" i="1" s="1"/>
  <c r="L257" i="1"/>
  <c r="L271" i="1" s="1"/>
  <c r="G632" i="1" s="1"/>
  <c r="J632" i="1" s="1"/>
  <c r="I661" i="1"/>
  <c r="G635" i="1"/>
  <c r="J635" i="1" s="1"/>
  <c r="D31" i="13"/>
  <c r="C31" i="13" s="1"/>
  <c r="G104" i="2"/>
  <c r="F51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0" i="1"/>
  <c r="I664" i="1" s="1"/>
  <c r="I672" i="1" s="1"/>
  <c r="C7" i="10" s="1"/>
  <c r="E145" i="2"/>
  <c r="G664" i="1"/>
  <c r="G672" i="1" s="1"/>
  <c r="C5" i="10" s="1"/>
  <c r="D24" i="10"/>
  <c r="D17" i="10"/>
  <c r="D19" i="10"/>
  <c r="D18" i="10"/>
  <c r="D26" i="10"/>
  <c r="D15" i="10"/>
  <c r="D23" i="10"/>
  <c r="D11" i="10"/>
  <c r="D10" i="10"/>
  <c r="C30" i="10"/>
  <c r="D27" i="10"/>
  <c r="D20" i="10"/>
  <c r="D25" i="10"/>
  <c r="D13" i="10"/>
  <c r="D16" i="10"/>
  <c r="D22" i="10"/>
  <c r="D21" i="10"/>
  <c r="F667" i="1"/>
  <c r="D33" i="13"/>
  <c r="D36" i="13" s="1"/>
  <c r="H656" i="1"/>
  <c r="C41" i="10"/>
  <c r="D38" i="10" s="1"/>
  <c r="G667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<sst xmlns="http://schemas.openxmlformats.org/spreadsheetml/2006/main" count="3959" uniqueCount="915">
  <si>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</si>
  <si>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</si>
  <si>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</si>
  <si>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</si>
  <si>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</si>
  <si>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</si>
  <si>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</si>
  <si>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</si>
  <si>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</si>
  <si>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</si>
  <si>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</si>
  <si>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</si>
  <si>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</si>
  <si>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</si>
  <si>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</si>
  <si>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</si>
  <si>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</si>
  <si>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</si>
  <si>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</si>
  <si>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</si>
  <si>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</si>
  <si>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</si>
  <si>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</si>
  <si>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</si>
  <si>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</si>
  <si>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</si>
  <si>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</si>
  <si>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</si>
  <si>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</si>
  <si>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</si>
  <si>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</si>
  <si>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</si>
  <si>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</si>
  <si>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</si>
  <si>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</si>
  <si>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</si>
  <si>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</si>
  <si>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</si>
  <si>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</si>
  <si>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</si>
  <si>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</si>
  <si>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</si>
  <si>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</si>
  <si>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</si>
  <si>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</si>
  <si>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</si>
  <si>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</si>
  <si>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</si>
  <si>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</si>
  <si>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</si>
  <si>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</si>
  <si>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</si>
  <si>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</si>
  <si>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</si>
  <si>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</si>
  <si>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</si>
  <si>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</si>
  <si>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</si>
  <si>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</si>
  <si>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</si>
  <si>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</si>
  <si>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</si>
  <si>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</si>
  <si>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</si>
  <si>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</si>
  <si>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</si>
  <si>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</si>
  <si>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</si>
  <si>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</si>
  <si>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</si>
  <si>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</si>
  <si>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</si>
  <si>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</si>
  <si>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</si>
  <si>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</si>
  <si>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</si>
  <si>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</si>
  <si>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</si>
  <si>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</si>
  <si>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</si>
  <si>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</si>
  <si>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</si>
  <si>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</si>
  <si>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</si>
  <si>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</si>
  <si>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</si>
  <si>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</si>
  <si>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</si>
  <si>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</si>
  <si>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</si>
  <si>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</si>
  <si>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</si>
  <si>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</si>
  <si>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</si>
  <si>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</si>
  <si>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</si>
  <si>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</si>
  <si>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</si>
  <si>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</si>
  <si>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</si>
  <si>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</si>
  <si>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</si>
  <si>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</si>
  <si>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</si>
  <si>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</si>
  <si>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</si>
  <si>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</si>
  <si>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</si>
  <si>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</si>
  <si>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</si>
  <si>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</si>
  <si>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</si>
  <si>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</si>
  <si>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</si>
  <si>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</si>
  <si>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</si>
  <si>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</si>
  <si>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</si>
  <si>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</si>
  <si>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</si>
  <si>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</si>
  <si>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</si>
  <si>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</si>
  <si>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</si>
  <si>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</si>
  <si>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</si>
  <si>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</si>
  <si>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</si>
  <si>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</si>
  <si>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</si>
  <si>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</si>
  <si>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</si>
  <si>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</si>
  <si>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</si>
  <si>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</si>
  <si>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</si>
  <si>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</si>
  <si>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</si>
  <si>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</si>
  <si>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</si>
  <si>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</si>
  <si>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</si>
  <si>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</si>
  <si>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</si>
  <si>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</si>
  <si>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</si>
  <si>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</si>
  <si>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</si>
  <si>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</si>
  <si>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</si>
  <si>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</si>
  <si>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</si>
  <si>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</si>
  <si>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</si>
  <si>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</si>
  <si>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</si>
  <si>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</si>
  <si>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</si>
  <si>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</si>
  <si>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</si>
  <si>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</si>
  <si>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</si>
  <si>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</si>
  <si>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</si>
  <si>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</si>
  <si>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</si>
  <si>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</si>
  <si>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</si>
  <si>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</si>
  <si>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</si>
  <si>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</si>
  <si>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</si>
  <si>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</si>
  <si>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</si>
  <si>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</si>
  <si>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</si>
  <si>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</si>
  <si>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</si>
  <si>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</si>
  <si>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</si>
  <si>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</si>
  <si>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</si>
  <si>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</si>
  <si>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</si>
  <si>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</si>
  <si>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</si>
  <si>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</si>
  <si>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</si>
  <si>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</si>
  <si>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</si>
  <si>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</si>
  <si>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</si>
  <si>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</si>
  <si>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</si>
  <si>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</si>
  <si>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</si>
  <si>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</si>
  <si>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</si>
  <si>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</si>
  <si>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</si>
  <si>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</si>
  <si>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</si>
  <si>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</si>
  <si>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</si>
  <si>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</si>
  <si>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</si>
  <si>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</si>
  <si>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</si>
  <si>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</si>
  <si>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</si>
  <si>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</si>
  <si>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</si>
  <si>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</si>
  <si>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</si>
  <si>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</si>
  <si>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</si>
  <si>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</si>
  <si>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</si>
  <si>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</si>
  <si>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</si>
  <si>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</si>
  <si>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</si>
  <si>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</si>
  <si>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</si>
  <si>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</si>
  <si>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</si>
  <si>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</si>
  <si>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</si>
  <si>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</si>
  <si>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</si>
  <si>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</si>
  <si>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</si>
  <si>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</si>
  <si>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</si>
  <si>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</si>
  <si>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</si>
  <si>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</si>
  <si>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</si>
  <si>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</si>
  <si>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</si>
  <si>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</si>
  <si>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</si>
  <si>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</si>
  <si>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</si>
  <si>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</si>
  <si>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</si>
  <si>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</si>
  <si>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</si>
  <si>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</si>
  <si>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</si>
  <si>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</si>
  <si>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</si>
  <si>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</si>
  <si>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</si>
  <si>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</si>
  <si>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</si>
  <si>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</si>
  <si>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</si>
  <si>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</si>
  <si>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</si>
  <si>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</si>
  <si>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</si>
  <si>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</si>
  <si>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</si>
  <si>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</si>
  <si>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</si>
  <si>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</si>
  <si>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</si>
  <si>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</si>
  <si>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</si>
  <si>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</si>
  <si>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</si>
  <si>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</si>
  <si>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</si>
  <si>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</si>
  <si>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</si>
  <si>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</si>
  <si>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</si>
  <si>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</si>
  <si>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</si>
  <si>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</si>
  <si>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</si>
  <si>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</si>
  <si>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</si>
  <si>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</si>
  <si>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</si>
  <si>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</si>
  <si>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</si>
  <si>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</si>
  <si>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</si>
  <si>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</si>
  <si>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</si>
  <si>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</si>
  <si>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</si>
  <si>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</si>
  <si>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</si>
  <si>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</si>
  <si>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</si>
  <si>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</si>
  <si>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</si>
  <si>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</si>
  <si>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</si>
  <si>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</si>
  <si>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</si>
  <si>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</si>
  <si>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</si>
  <si>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</si>
  <si>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</si>
  <si>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</si>
  <si>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</si>
  <si>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</si>
  <si>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</si>
  <si>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</si>
  <si>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</si>
  <si>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</si>
  <si>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</si>
  <si>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</si>
  <si>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</si>
  <si>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</si>
  <si>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</si>
  <si>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</si>
  <si>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</si>
  <si>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</si>
  <si>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</si>
  <si>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</si>
  <si>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</si>
  <si>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</si>
  <si>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</si>
  <si>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</si>
  <si>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</si>
  <si>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</si>
  <si>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</si>
  <si>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</si>
  <si>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</si>
  <si>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</si>
  <si>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</si>
  <si>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</si>
  <si>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</si>
  <si>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</si>
  <si>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</si>
  <si>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</si>
  <si>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</si>
  <si>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</si>
  <si>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</si>
  <si>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</si>
  <si>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</si>
  <si>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</si>
  <si>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</si>
  <si>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</si>
  <si>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</si>
  <si>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</si>
  <si>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</si>
  <si>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</si>
  <si>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</si>
  <si>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</si>
  <si>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</si>
  <si>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</si>
  <si>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</si>
  <si>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</si>
  <si>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</si>
  <si>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</si>
  <si>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</si>
  <si>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</si>
  <si>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</si>
  <si>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</si>
  <si>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</si>
  <si>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</si>
  <si>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</si>
  <si>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</si>
  <si>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</si>
  <si>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</si>
  <si>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</si>
  <si>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</si>
  <si>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</si>
  <si>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</si>
  <si>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</si>
  <si>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</si>
  <si>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</si>
  <si>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</si>
  <si>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</si>
  <si>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</si>
  <si>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</si>
  <si>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</si>
  <si>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</si>
  <si>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</si>
  <si>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</si>
  <si>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</si>
  <si>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</si>
  <si>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</si>
  <si>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</si>
  <si>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</si>
  <si>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</si>
  <si>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</si>
  <si>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</si>
  <si>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</si>
  <si>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</si>
  <si>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</si>
  <si>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</si>
  <si>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</si>
  <si>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</si>
  <si>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</si>
  <si>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</si>
  <si>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</si>
  <si>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</si>
  <si>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</si>
  <si>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</si>
  <si>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</si>
  <si>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</si>
  <si>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</si>
  <si>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</si>
  <si>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</si>
  <si>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</si>
  <si>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</si>
  <si>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</si>
  <si>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</si>
  <si>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</si>
  <si>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</si>
  <si>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</si>
  <si>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</si>
  <si>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</si>
  <si>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</si>
  <si>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</si>
  <si>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</si>
  <si>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</si>
  <si>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</si>
  <si>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</si>
  <si>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</si>
  <si>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</si>
  <si>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</si>
  <si>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</si>
  <si>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</si>
  <si>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</si>
  <si>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</si>
  <si>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</si>
  <si>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</si>
  <si>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</si>
  <si>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</si>
  <si>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</si>
  <si>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</si>
  <si>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</si>
  <si>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</si>
  <si>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</si>
  <si>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</si>
  <si>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</si>
  <si>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</si>
  <si>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</si>
  <si>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</si>
  <si>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</si>
  <si>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</si>
  <si>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</si>
  <si>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</si>
  <si>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</si>
  <si>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</si>
  <si>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</si>
  <si>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</si>
  <si>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</si>
  <si>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</si>
  <si>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</si>
  <si>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</si>
  <si>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</si>
  <si>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</si>
  <si>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</si>
  <si>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</si>
  <si>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</si>
  <si>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</si>
  <si>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</si>
  <si>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</si>
  <si>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</si>
  <si>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</si>
  <si>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</si>
  <si>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</si>
  <si>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</si>
  <si>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</si>
  <si>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</si>
  <si>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</si>
  <si>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</si>
  <si>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</si>
  <si>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</si>
  <si>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</si>
  <si>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</si>
  <si>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</si>
  <si>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</si>
  <si>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</si>
  <si>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</si>
  <si>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</si>
  <si>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</si>
  <si>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</si>
  <si>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</si>
  <si>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</si>
  <si>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</si>
  <si>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</si>
  <si>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</si>
  <si>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</si>
  <si>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</si>
  <si>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</si>
  <si>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</si>
  <si>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</si>
  <si>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</si>
  <si>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</si>
  <si>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</si>
  <si>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</si>
  <si>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</si>
  <si>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</si>
  <si>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</si>
  <si>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</si>
  <si>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</si>
  <si>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</si>
  <si>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</si>
  <si>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</si>
  <si>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</si>
  <si>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</si>
  <si>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</si>
  <si>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</si>
  <si>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</si>
  <si>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</si>
  <si>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</si>
  <si>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</si>
  <si>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</si>
  <si>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</si>
  <si>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</si>
  <si>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</si>
  <si>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</si>
  <si>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</si>
  <si>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</si>
  <si>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</si>
  <si>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</si>
  <si>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</si>
  <si>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</si>
  <si>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</si>
  <si>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</si>
  <si>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</si>
  <si>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</si>
  <si>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</si>
  <si>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</si>
  <si>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</si>
  <si>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</si>
  <si>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</si>
  <si>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</si>
  <si>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</si>
  <si>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</si>
  <si>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</si>
  <si>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</si>
  <si>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</si>
  <si>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</si>
  <si>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</si>
  <si>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</si>
  <si>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</si>
  <si>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</si>
  <si>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</si>
  <si>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</si>
  <si>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</si>
  <si>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</si>
  <si>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</si>
  <si>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</si>
  <si>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</si>
  <si>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</si>
  <si>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</si>
  <si>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</si>
  <si>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</si>
  <si>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</si>
  <si>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</si>
  <si>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</si>
  <si>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</si>
  <si>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</si>
  <si>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</si>
  <si>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</si>
  <si>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</si>
  <si>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</si>
  <si>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</si>
  <si>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</si>
  <si>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</si>
  <si>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</si>
  <si>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</si>
  <si>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</si>
  <si>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</si>
  <si>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</si>
  <si>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</si>
  <si>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</si>
  <si>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</si>
  <si>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</si>
  <si>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</si>
  <si>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</si>
  <si>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</si>
  <si>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</si>
  <si>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</si>
  <si>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</si>
  <si>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</si>
  <si>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</si>
  <si>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</si>
  <si>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</si>
  <si>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</si>
  <si>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</si>
  <si>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</si>
  <si>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</si>
  <si>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</si>
  <si>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</si>
  <si>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</si>
  <si>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</si>
  <si>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</si>
  <si>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</si>
  <si>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</si>
  <si>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</si>
  <si>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</si>
  <si>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</si>
  <si>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</si>
  <si>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</si>
  <si>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</si>
  <si>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</si>
  <si>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</si>
  <si>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</si>
  <si>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</si>
  <si>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</si>
  <si>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</si>
  <si>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</si>
  <si>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</si>
  <si>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</si>
  <si>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</si>
  <si>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</si>
  <si>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</si>
  <si>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</si>
  <si>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</si>
  <si>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</si>
  <si>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</si>
  <si>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</si>
  <si>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</si>
  <si>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</si>
  <si>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</si>
  <si>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</si>
  <si>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</si>
  <si>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</si>
  <si>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</si>
  <si>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</si>
  <si>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</si>
  <si>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</si>
  <si>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</si>
  <si>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</si>
  <si>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</si>
  <si>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</si>
  <si>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</si>
  <si>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</si>
  <si>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</si>
  <si>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</si>
  <si>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</si>
  <si>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</si>
  <si>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</si>
  <si>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</si>
  <si>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</si>
  <si>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</si>
  <si>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</si>
  <si>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</si>
  <si>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</si>
  <si>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</si>
  <si>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</si>
  <si>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</si>
  <si>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</si>
  <si>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</si>
  <si>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</si>
  <si>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</si>
  <si>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</si>
  <si>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</si>
  <si>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</si>
  <si>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</si>
  <si>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</si>
  <si>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</si>
  <si>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</si>
  <si>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</si>
  <si>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</si>
  <si>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</si>
  <si>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</si>
  <si>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</si>
  <si>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</si>
  <si>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</si>
  <si>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</si>
  <si>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</si>
  <si>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</si>
  <si>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</si>
  <si>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</si>
  <si>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</si>
  <si>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</si>
  <si>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</si>
  <si>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</si>
  <si>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</si>
  <si>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</si>
  <si>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</si>
  <si>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</si>
  <si>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</si>
  <si>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</si>
  <si>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</si>
  <si>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</si>
  <si>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</si>
  <si>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</si>
  <si>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</si>
  <si>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</si>
  <si>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</si>
  <si>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</si>
  <si>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</si>
  <si>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</si>
  <si>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</si>
  <si>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</si>
  <si>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</si>
  <si>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</si>
  <si>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</si>
  <si>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</si>
  <si>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</si>
  <si>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</si>
  <si>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</si>
  <si>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</si>
  <si>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</si>
  <si>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</si>
  <si>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</si>
  <si>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</si>
  <si>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</si>
  <si>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</si>
  <si>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</si>
  <si>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</si>
  <si>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</si>
  <si>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</si>
  <si>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</si>
  <si>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</si>
  <si>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</si>
  <si>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</si>
  <si>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</si>
  <si>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</si>
  <si>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</si>
  <si>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</si>
  <si>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</si>
  <si>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</si>
  <si>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</si>
  <si>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</si>
  <si>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</si>
  <si>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</si>
  <si>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</si>
  <si>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</si>
  <si>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</si>
  <si>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</si>
  <si>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</si>
  <si>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</si>
  <si>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</si>
  <si>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</si>
  <si>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</si>
  <si>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</si>
  <si>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</si>
  <si>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</si>
  <si>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</si>
  <si>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</si>
  <si>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</si>
  <si>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</si>
  <si>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</si>
  <si>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</si>
  <si>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</si>
  <si>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</si>
  <si>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</si>
  <si>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</si>
  <si>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</si>
  <si>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</si>
  <si>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</si>
  <si>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</si>
  <si>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</si>
  <si>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</si>
  <si>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</si>
  <si>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</si>
  <si>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</si>
  <si>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</si>
  <si>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</si>
  <si>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</si>
  <si>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</si>
  <si>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</si>
  <si>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</si>
  <si>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</si>
  <si>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</si>
  <si>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</si>
  <si>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</si>
  <si>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</si>
  <si>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</si>
  <si>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</si>
  <si>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</si>
  <si>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</si>
  <si>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</si>
  <si>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</si>
  <si>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</si>
  <si>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</si>
  <si>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</si>
  <si>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</si>
  <si>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</si>
  <si>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</si>
  <si>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</si>
  <si>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</si>
  <si>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</si>
  <si>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</si>
  <si>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</si>
  <si>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</si>
  <si>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</si>
  <si>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</si>
  <si>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</si>
  <si>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</si>
  <si>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</si>
  <si>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</si>
  <si>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</si>
  <si>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</si>
  <si>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</si>
  <si>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</si>
  <si>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</si>
  <si>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</si>
  <si>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</si>
  <si>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</si>
  <si>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</si>
  <si>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</si>
  <si>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</si>
  <si>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</si>
  <si>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</si>
  <si>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</si>
  <si>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</si>
  <si>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</si>
  <si>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</si>
  <si>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</si>
  <si>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</si>
  <si>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</si>
  <si>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</si>
  <si>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</si>
  <si>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</si>
  <si>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</si>
  <si>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</si>
  <si>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</si>
  <si>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</si>
  <si>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</si>
  <si>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</si>
  <si>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</si>
  <si>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</si>
  <si>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</si>
  <si>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</si>
  <si>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</si>
  <si>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</si>
  <si>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</si>
  <si>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</si>
  <si>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</si>
  <si>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</si>
  <si>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</si>
  <si>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</si>
  <si>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</si>
  <si>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</si>
  <si>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</si>
  <si>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</si>
  <si>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</si>
  <si>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</si>
  <si>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</si>
  <si>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</si>
  <si>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</si>
  <si>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</si>
  <si>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</si>
  <si>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</si>
  <si>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</si>
  <si>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</si>
  <si>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</si>
  <si>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</si>
  <si>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</si>
  <si>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</si>
  <si>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</si>
  <si>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</si>
  <si>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</si>
  <si>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</si>
  <si>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</si>
  <si>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</si>
  <si>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</si>
  <si>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</si>
  <si>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</si>
  <si>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</si>
  <si>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</si>
  <si>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</si>
  <si>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</si>
  <si>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</si>
  <si>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</si>
  <si>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</si>
  <si>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</si>
  <si>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</si>
  <si>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</si>
  <si>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</si>
  <si>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</si>
  <si>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</si>
  <si>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</si>
  <si>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</si>
  <si>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</si>
  <si>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</si>
  <si>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</si>
  <si>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</si>
  <si>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</si>
  <si>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</si>
  <si>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</si>
  <si>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</si>
  <si>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</si>
  <si>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</si>
  <si>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</si>
  <si>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</si>
  <si>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</si>
  <si>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</si>
  <si>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</si>
  <si>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</si>
  <si>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</si>
  <si>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</si>
  <si>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</si>
  <si>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</si>
  <si>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</si>
  <si>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</si>
  <si>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</si>
  <si>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</si>
  <si>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</si>
  <si>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</si>
  <si>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</si>
  <si>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</si>
  <si>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</si>
  <si>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</si>
  <si>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</si>
  <si>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</si>
  <si>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05/02</t>
  </si>
  <si>
    <t>07/22</t>
  </si>
  <si>
    <t>Hooksett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</si>
</sst>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261</v>
      </c>
      <c r="C2" s="21">
        <v>261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2194895.5499999998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132268.96</v>
      </c>
      <c r="G12" s="18">
        <v>22861.4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55820.32</v>
      </c>
      <c r="G13" s="18">
        <v>11814.62</v>
      </c>
      <c r="H13" s="18">
        <v>118912.57</v>
      </c>
      <c r="I13" s="18"/>
      <c r="J13" s="67">
        <f>SUM(I442)</f>
        <v>610721.01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432.22+479.8</f>
        <v>912.02</v>
      </c>
      <c r="G14" s="18">
        <v>460.89</v>
      </c>
      <c r="H14" s="18">
        <v>20245.25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2383896.8499999996</v>
      </c>
      <c r="G19" s="41">
        <f>SUM(G9:G18)</f>
        <v>35136.910000000003</v>
      </c>
      <c r="H19" s="41">
        <f>SUM(H9:H18)</f>
        <v>139157.82</v>
      </c>
      <c r="I19" s="41">
        <f>SUM(I9:I18)</f>
        <v>0</v>
      </c>
      <c r="J19" s="41">
        <f>SUM(J9:J18)</f>
        <v>610721.01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22861.4</v>
      </c>
      <c r="G22" s="18"/>
      <c r="H22" s="18">
        <v>132268.96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272203.92</v>
      </c>
      <c r="G24" s="18">
        <v>1473.23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71906.960000000006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11307.3</v>
      </c>
      <c r="H30" s="18">
        <v>6888.86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366972.28</v>
      </c>
      <c r="G32" s="41">
        <f>SUM(G22:G31)</f>
        <v>12780.529999999999</v>
      </c>
      <c r="H32" s="41">
        <f>SUM(H22:H31)</f>
        <v>139157.81999999998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324695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22356.38</v>
      </c>
      <c r="H48" s="18"/>
      <c r="I48" s="18"/>
      <c r="J48" s="13">
        <f>SUM(I459)</f>
        <v>610721.01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466793.29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1225436.28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2016924.57</v>
      </c>
      <c r="G51" s="41">
        <f>SUM(G35:G50)</f>
        <v>22356.38</v>
      </c>
      <c r="H51" s="41">
        <f>SUM(H35:H50)</f>
        <v>0</v>
      </c>
      <c r="I51" s="41">
        <f>SUM(I35:I50)</f>
        <v>0</v>
      </c>
      <c r="J51" s="41">
        <f>SUM(J35:J50)</f>
        <v>610721.01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2383896.85</v>
      </c>
      <c r="G52" s="41">
        <f>G51+G32</f>
        <v>35136.910000000003</v>
      </c>
      <c r="H52" s="41">
        <f>H51+H32</f>
        <v>139157.81999999998</v>
      </c>
      <c r="I52" s="41">
        <f>I51+I32</f>
        <v>0</v>
      </c>
      <c r="J52" s="41">
        <f>J51+J32</f>
        <v>610721.01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22354979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171417.31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22526396.309999999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10050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5000.5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15050.5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36016.26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36016.26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411.06</v>
      </c>
      <c r="G96" s="18"/>
      <c r="H96" s="18"/>
      <c r="I96" s="18"/>
      <c r="J96" s="18">
        <v>9295.42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419315.52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f>15500+4060.75</f>
        <v>19560.75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5251.55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202462.6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5394.98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227829.39</v>
      </c>
      <c r="G111" s="41">
        <f>SUM(G96:G110)</f>
        <v>419315.52</v>
      </c>
      <c r="H111" s="41">
        <f>SUM(H96:H110)</f>
        <v>5251.55</v>
      </c>
      <c r="I111" s="41">
        <f>SUM(I96:I110)</f>
        <v>0</v>
      </c>
      <c r="J111" s="41">
        <f>SUM(J96:J110)</f>
        <v>9295.42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22805292.460000001</v>
      </c>
      <c r="G112" s="41">
        <f>G60+G111</f>
        <v>419315.52</v>
      </c>
      <c r="H112" s="41">
        <f>H60+H79+H94+H111</f>
        <v>5251.55</v>
      </c>
      <c r="I112" s="41">
        <f>I60+I111</f>
        <v>0</v>
      </c>
      <c r="J112" s="41">
        <f>J60+J111</f>
        <v>9295.42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3606700.69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4149940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13030.9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7769671.5899999999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330172.46000000002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278332.46999999997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7294.32+789.69</f>
        <v>8084.01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20245.25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608504.92999999993</v>
      </c>
      <c r="G136" s="41">
        <f>SUM(G123:G135)</f>
        <v>8084.01</v>
      </c>
      <c r="H136" s="41">
        <f>SUM(H123:H135)</f>
        <v>20245.25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8378176.5199999996</v>
      </c>
      <c r="G140" s="41">
        <f>G121+SUM(G136:G137)</f>
        <v>8084.01</v>
      </c>
      <c r="H140" s="41">
        <f>H121+SUM(H136:H139)</f>
        <v>20245.25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108360.51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97091.85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134315.8+39435.96+26730.25</f>
        <v>200482.00999999998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260659.72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193495.59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193495.59</v>
      </c>
      <c r="G162" s="41">
        <f>SUM(G150:G161)</f>
        <v>200482.00999999998</v>
      </c>
      <c r="H162" s="41">
        <f>SUM(H150:H161)</f>
        <v>466112.07999999996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>
        <v>14293.63</v>
      </c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193495.59</v>
      </c>
      <c r="G169" s="41">
        <f>G147+G162+SUM(G163:G168)</f>
        <v>200482.00999999998</v>
      </c>
      <c r="H169" s="41">
        <f>H147+H162+SUM(H163:H168)</f>
        <v>480405.70999999996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95500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95500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95500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31376964.57</v>
      </c>
      <c r="G193" s="47">
        <f>G112+G140+G169+G192</f>
        <v>627881.54</v>
      </c>
      <c r="H193" s="47">
        <f>H112+H140+H169+H192</f>
        <v>505902.50999999995</v>
      </c>
      <c r="I193" s="47">
        <f>I112+I140+I169+I192</f>
        <v>0</v>
      </c>
      <c r="J193" s="47">
        <f>J112+J140+J192</f>
        <v>104795.42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2847238.69+56127.79</f>
        <v>2903366.48</v>
      </c>
      <c r="G197" s="18">
        <f>1688076.11+58013.51</f>
        <v>1746089.62</v>
      </c>
      <c r="H197" s="18">
        <f>4844.42+39037.91</f>
        <v>43882.33</v>
      </c>
      <c r="I197" s="18">
        <f>131215.11</f>
        <v>131215.10999999999</v>
      </c>
      <c r="J197" s="18">
        <f>2589.22</f>
        <v>2589.2199999999998</v>
      </c>
      <c r="K197" s="18">
        <f>149.42</f>
        <v>149.41999999999999</v>
      </c>
      <c r="L197" s="19">
        <f>SUM(F197:K197)</f>
        <v>4827292.18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589371.47+33635.3+102855+106421.62+92566.26</f>
        <v>924849.65</v>
      </c>
      <c r="G198" s="18">
        <f>411368.33+6154.65+55388.57+66255.08+37604.66</f>
        <v>576771.29</v>
      </c>
      <c r="H198" s="18">
        <f>155684.57+320418.58+3647.87+4030.19+21712.84</f>
        <v>505494.05000000005</v>
      </c>
      <c r="I198" s="18">
        <f>1066.2+1757.66+7919.84</f>
        <v>10743.7</v>
      </c>
      <c r="J198" s="18">
        <f>2764.06</f>
        <v>2764.06</v>
      </c>
      <c r="K198" s="18">
        <f>920+1376</f>
        <v>2296</v>
      </c>
      <c r="L198" s="19">
        <f>SUM(F198:K198)</f>
        <v>2022918.75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6667.5</f>
        <v>6667.5</v>
      </c>
      <c r="G200" s="18">
        <f>1326.3</f>
        <v>1326.3</v>
      </c>
      <c r="H200" s="18">
        <f>197.25</f>
        <v>197.25</v>
      </c>
      <c r="I200" s="18">
        <f>464.03</f>
        <v>464.03</v>
      </c>
      <c r="J200" s="18">
        <f>63.84</f>
        <v>63.84</v>
      </c>
      <c r="K200" s="18"/>
      <c r="L200" s="19">
        <f>SUM(F200:K200)</f>
        <v>8718.92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128478.16+106722.2+345421.83+51739.49</f>
        <v>632361.67999999993</v>
      </c>
      <c r="G202" s="18">
        <f>51751.06+53089.12+185994.06+433.31+28393.74</f>
        <v>319661.28999999998</v>
      </c>
      <c r="H202" s="18">
        <f>13911.52+126512+276+135+2217.21+114279.37+133920.65+67850.75</f>
        <v>459102.5</v>
      </c>
      <c r="I202" s="18">
        <f>471.69+3771.67+2910.46+722.45+1700.24</f>
        <v>9576.51</v>
      </c>
      <c r="J202" s="18">
        <f>1254</f>
        <v>1254</v>
      </c>
      <c r="K202" s="18">
        <f>3296.27</f>
        <v>3296.27</v>
      </c>
      <c r="L202" s="19">
        <f t="shared" ref="L202:L208" si="0">SUM(F202:K202)</f>
        <v>1425252.25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155010.58+2622+57034.02</f>
        <v>214666.59999999998</v>
      </c>
      <c r="G203" s="18">
        <f>950+124091.02+628.67+37806.21</f>
        <v>163475.9</v>
      </c>
      <c r="H203" s="18">
        <f>4211.88+3961.46</f>
        <v>8173.34</v>
      </c>
      <c r="I203" s="18">
        <f>24563.34+960.87</f>
        <v>25524.21</v>
      </c>
      <c r="J203" s="18">
        <f>12054.21</f>
        <v>12054.21</v>
      </c>
      <c r="K203" s="18">
        <f>416</f>
        <v>416</v>
      </c>
      <c r="L203" s="19">
        <f t="shared" si="0"/>
        <v>424310.26000000007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11764.5</f>
        <v>11764.5</v>
      </c>
      <c r="G204" s="18">
        <f>900.09</f>
        <v>900.09</v>
      </c>
      <c r="H204" s="18">
        <f>63223.87+487026.84</f>
        <v>550250.71000000008</v>
      </c>
      <c r="I204" s="18">
        <f>2118.97</f>
        <v>2118.9699999999998</v>
      </c>
      <c r="J204" s="18"/>
      <c r="K204" s="18">
        <f>4341.15</f>
        <v>4341.1499999999996</v>
      </c>
      <c r="L204" s="19">
        <f t="shared" si="0"/>
        <v>569375.42000000004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484838.98</f>
        <v>484838.98</v>
      </c>
      <c r="G205" s="18">
        <v>276526.34999999998</v>
      </c>
      <c r="H205" s="18">
        <f>7822.6+19110.07+641.4</f>
        <v>27574.07</v>
      </c>
      <c r="I205" s="18">
        <f>4583.24</f>
        <v>4583.24</v>
      </c>
      <c r="J205" s="18"/>
      <c r="K205" s="18">
        <f>2800</f>
        <v>2800</v>
      </c>
      <c r="L205" s="19">
        <f t="shared" si="0"/>
        <v>796322.6399999999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244820.44+49141.11</f>
        <v>293961.55</v>
      </c>
      <c r="G207" s="18">
        <f>205876.34+26522.11</f>
        <v>232398.45</v>
      </c>
      <c r="H207" s="18">
        <f>134449.41+26234.05+4238+47589.99</f>
        <v>212511.44999999998</v>
      </c>
      <c r="I207" s="18">
        <f>243993.49+52.37</f>
        <v>244045.86</v>
      </c>
      <c r="J207" s="18">
        <f>34349.53</f>
        <v>34349.53</v>
      </c>
      <c r="K207" s="18"/>
      <c r="L207" s="19">
        <f t="shared" si="0"/>
        <v>1017266.84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4355.7+699907.86</f>
        <v>704263.55999999994</v>
      </c>
      <c r="I208" s="18"/>
      <c r="J208" s="18"/>
      <c r="K208" s="18"/>
      <c r="L208" s="19">
        <f t="shared" si="0"/>
        <v>704263.55999999994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f>49487.24+55579.5</f>
        <v>105066.73999999999</v>
      </c>
      <c r="G209" s="18">
        <f>8710.77+21803.72</f>
        <v>30514.49</v>
      </c>
      <c r="H209" s="18">
        <f>2637.12</f>
        <v>2637.12</v>
      </c>
      <c r="I209" s="18">
        <f>7293.14+19252.59</f>
        <v>26545.73</v>
      </c>
      <c r="J209" s="18">
        <f>86864.69</f>
        <v>86864.69</v>
      </c>
      <c r="K209" s="18">
        <f>234.6</f>
        <v>234.6</v>
      </c>
      <c r="L209" s="19">
        <f>SUM(F209:K209)</f>
        <v>251863.37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5577543.6799999988</v>
      </c>
      <c r="G211" s="41">
        <f t="shared" si="1"/>
        <v>3347663.7800000003</v>
      </c>
      <c r="H211" s="41">
        <f t="shared" si="1"/>
        <v>2514086.3800000004</v>
      </c>
      <c r="I211" s="41">
        <f t="shared" si="1"/>
        <v>454817.36</v>
      </c>
      <c r="J211" s="41">
        <f t="shared" si="1"/>
        <v>139939.54999999999</v>
      </c>
      <c r="K211" s="41">
        <f t="shared" si="1"/>
        <v>13533.44</v>
      </c>
      <c r="L211" s="41">
        <f t="shared" si="1"/>
        <v>12047584.189999999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2021355.3+34400.9</f>
        <v>2055756.2</v>
      </c>
      <c r="G215" s="18">
        <f>1052977.87+35556.67</f>
        <v>1088534.54</v>
      </c>
      <c r="H215" s="18">
        <f>22990.92</f>
        <v>22990.92</v>
      </c>
      <c r="I215" s="18">
        <f>37838.54</f>
        <v>37838.54</v>
      </c>
      <c r="J215" s="18">
        <f>1649.69</f>
        <v>1649.69</v>
      </c>
      <c r="K215" s="18">
        <f>91.58</f>
        <v>91.58</v>
      </c>
      <c r="L215" s="19">
        <f>SUM(F215:K215)</f>
        <v>3206861.47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388136.02+9842.53+37820.7+60151.35+41587.74</f>
        <v>537538.34000000008</v>
      </c>
      <c r="G216" s="18">
        <f>263444.66+1328.69+17682.94+37448.53+16894.85</f>
        <v>336799.66999999993</v>
      </c>
      <c r="H216" s="18">
        <f>184537.71+6328.8+143956.18+1638.9+1810.67+9755.04</f>
        <v>348027.29999999993</v>
      </c>
      <c r="I216" s="18">
        <f>795.52+413.46+721.64+3558.19</f>
        <v>5488.8099999999995</v>
      </c>
      <c r="J216" s="18">
        <f>1241.83</f>
        <v>1241.83</v>
      </c>
      <c r="K216" s="18"/>
      <c r="L216" s="19">
        <f>SUM(F216:K216)</f>
        <v>1229095.9500000002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28574+30172.06+7600</f>
        <v>66346.06</v>
      </c>
      <c r="G218" s="18">
        <f>6711.24+6053.56+1058.81</f>
        <v>13823.609999999999</v>
      </c>
      <c r="H218" s="18">
        <f>473.75+9063+120.18</f>
        <v>9656.93</v>
      </c>
      <c r="I218" s="18">
        <f>2940.92+1481.78+1835.08</f>
        <v>6257.78</v>
      </c>
      <c r="J218" s="18">
        <f>173.92+6104.8</f>
        <v>6278.72</v>
      </c>
      <c r="K218" s="18">
        <f>1967+610</f>
        <v>2577</v>
      </c>
      <c r="L218" s="19">
        <f>SUM(F218:K218)</f>
        <v>104940.1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127281.56+52450.5+77778+23245.28</f>
        <v>280755.33999999997</v>
      </c>
      <c r="G220" s="18">
        <f>68769.54+23696.72+45882.05+194.68+12756.61</f>
        <v>151299.59999999998</v>
      </c>
      <c r="H220" s="18">
        <f>6101.07+200+138+1042.7+5200+725.9+51342.91+60167.25+30483.67</f>
        <v>155401.5</v>
      </c>
      <c r="I220" s="18">
        <f>1968.33+79.28+847.05+763.87</f>
        <v>3658.5299999999997</v>
      </c>
      <c r="J220" s="18">
        <f>1771</f>
        <v>1771</v>
      </c>
      <c r="K220" s="18">
        <f>1480.93</f>
        <v>1480.93</v>
      </c>
      <c r="L220" s="19">
        <f t="shared" ref="L220:L226" si="2">SUM(F220:K220)</f>
        <v>594366.9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21901.5+1178+25623.98</f>
        <v>48703.479999999996</v>
      </c>
      <c r="G221" s="18">
        <f>3124.5+15577.06+282.44+16985.4</f>
        <v>35969.399999999994</v>
      </c>
      <c r="H221" s="18">
        <f>2143.95+1779.79</f>
        <v>3923.74</v>
      </c>
      <c r="I221" s="18">
        <f>628+13964.19+431.7</f>
        <v>15023.890000000001</v>
      </c>
      <c r="J221" s="18">
        <f>24584.24</f>
        <v>24584.240000000002</v>
      </c>
      <c r="K221" s="18">
        <f>259</f>
        <v>259</v>
      </c>
      <c r="L221" s="19">
        <f t="shared" si="2"/>
        <v>128463.75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5285.5</f>
        <v>5285.5</v>
      </c>
      <c r="G222" s="18">
        <f>404.39</f>
        <v>404.39</v>
      </c>
      <c r="H222" s="18">
        <f>28404.92+218809.16</f>
        <v>247214.08000000002</v>
      </c>
      <c r="I222" s="18">
        <f>952</f>
        <v>952</v>
      </c>
      <c r="J222" s="18"/>
      <c r="K222" s="18">
        <f>1950.37</f>
        <v>1950.37</v>
      </c>
      <c r="L222" s="19">
        <f t="shared" si="2"/>
        <v>255806.34000000003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236454.64</f>
        <v>236454.64</v>
      </c>
      <c r="G223" s="18">
        <f>137663.85</f>
        <v>137663.85</v>
      </c>
      <c r="H223" s="18">
        <f>8259.78+13333.93+288.16</f>
        <v>21881.87</v>
      </c>
      <c r="I223" s="18">
        <f>1585.91</f>
        <v>1585.91</v>
      </c>
      <c r="J223" s="18">
        <f>1408.75</f>
        <v>1408.75</v>
      </c>
      <c r="K223" s="18">
        <f>2123</f>
        <v>2123</v>
      </c>
      <c r="L223" s="19">
        <f t="shared" si="2"/>
        <v>401118.01999999996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142891.29+22077.89</f>
        <v>164969.18</v>
      </c>
      <c r="G225" s="18">
        <f>88114.33+11915.73</f>
        <v>100030.06</v>
      </c>
      <c r="H225" s="18">
        <f>127470.93+11786.31+1904.03+21381.01</f>
        <v>162542.28</v>
      </c>
      <c r="I225" s="18">
        <f>207364.7+23.53</f>
        <v>207388.23</v>
      </c>
      <c r="J225" s="18">
        <f>3280.88</f>
        <v>3280.88</v>
      </c>
      <c r="K225" s="18"/>
      <c r="L225" s="19">
        <f t="shared" si="2"/>
        <v>638210.63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26762.58+410236.89</f>
        <v>436999.47000000003</v>
      </c>
      <c r="I226" s="18"/>
      <c r="J226" s="18"/>
      <c r="K226" s="18"/>
      <c r="L226" s="19">
        <f t="shared" si="2"/>
        <v>436999.47000000003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24970.5</f>
        <v>24970.5</v>
      </c>
      <c r="G227" s="18">
        <f>9795.87</f>
        <v>9795.8700000000008</v>
      </c>
      <c r="H227" s="18">
        <f>1184.79</f>
        <v>1184.79</v>
      </c>
      <c r="I227" s="18">
        <f>697+8649.72</f>
        <v>9346.7199999999993</v>
      </c>
      <c r="J227" s="18">
        <f>39026.16</f>
        <v>39026.160000000003</v>
      </c>
      <c r="K227" s="18">
        <f>105.4</f>
        <v>105.4</v>
      </c>
      <c r="L227" s="19">
        <f>SUM(F227:K227)</f>
        <v>84429.440000000002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3420779.24</v>
      </c>
      <c r="G229" s="41">
        <f>SUM(G215:G228)</f>
        <v>1874320.99</v>
      </c>
      <c r="H229" s="41">
        <f>SUM(H215:H228)</f>
        <v>1409822.8800000001</v>
      </c>
      <c r="I229" s="41">
        <f>SUM(I215:I228)</f>
        <v>287540.40999999997</v>
      </c>
      <c r="J229" s="41">
        <f>SUM(J215:J228)</f>
        <v>79241.27</v>
      </c>
      <c r="K229" s="41">
        <f t="shared" si="3"/>
        <v>8587.2800000000007</v>
      </c>
      <c r="L229" s="41">
        <f t="shared" si="3"/>
        <v>7080292.0699999994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7037351.54</f>
        <v>7037351.54</v>
      </c>
      <c r="I233" s="18"/>
      <c r="J233" s="18"/>
      <c r="K233" s="18"/>
      <c r="L233" s="19">
        <f>SUM(F233:K233)</f>
        <v>7037351.54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100224.13+64778.38</f>
        <v>165002.51</v>
      </c>
      <c r="G234" s="18">
        <f>76601.95+40329.18</f>
        <v>116931.13</v>
      </c>
      <c r="H234" s="18">
        <f>221959.24+2445228.77</f>
        <v>2667188.0099999998</v>
      </c>
      <c r="I234" s="18"/>
      <c r="J234" s="18"/>
      <c r="K234" s="18"/>
      <c r="L234" s="19">
        <f>SUM(F234:K234)</f>
        <v>2949121.65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409251.15</v>
      </c>
      <c r="I244" s="18"/>
      <c r="J244" s="18"/>
      <c r="K244" s="18"/>
      <c r="L244" s="19">
        <f t="shared" si="4"/>
        <v>409251.15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165002.51</v>
      </c>
      <c r="G247" s="41">
        <f t="shared" si="5"/>
        <v>116931.13</v>
      </c>
      <c r="H247" s="41">
        <f t="shared" si="5"/>
        <v>10113790.700000001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10395724.34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13164</f>
        <v>13164</v>
      </c>
      <c r="I255" s="18"/>
      <c r="J255" s="18"/>
      <c r="K255" s="18"/>
      <c r="L255" s="19">
        <f t="shared" si="6"/>
        <v>13164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13164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13164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9163325.4299999978</v>
      </c>
      <c r="G257" s="41">
        <f t="shared" si="8"/>
        <v>5338915.9000000004</v>
      </c>
      <c r="H257" s="41">
        <f t="shared" si="8"/>
        <v>14050863.960000001</v>
      </c>
      <c r="I257" s="41">
        <f t="shared" si="8"/>
        <v>742357.77</v>
      </c>
      <c r="J257" s="41">
        <f t="shared" si="8"/>
        <v>219180.82</v>
      </c>
      <c r="K257" s="41">
        <f t="shared" si="8"/>
        <v>22120.720000000001</v>
      </c>
      <c r="L257" s="41">
        <f t="shared" si="8"/>
        <v>29536764.599999998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1035000</v>
      </c>
      <c r="L260" s="19">
        <f>SUM(F260:K260)</f>
        <v>1035000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283625</v>
      </c>
      <c r="L261" s="19">
        <f>SUM(F261:K261)</f>
        <v>283625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95500</v>
      </c>
      <c r="L266" s="19">
        <f t="shared" si="9"/>
        <v>95500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47657.31</v>
      </c>
      <c r="L268" s="19">
        <f t="shared" si="9"/>
        <v>47657.31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1461782.31</v>
      </c>
      <c r="L270" s="41">
        <f t="shared" si="9"/>
        <v>1461782.31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9163325.4299999978</v>
      </c>
      <c r="G271" s="42">
        <f t="shared" si="11"/>
        <v>5338915.9000000004</v>
      </c>
      <c r="H271" s="42">
        <f t="shared" si="11"/>
        <v>14050863.960000001</v>
      </c>
      <c r="I271" s="42">
        <f t="shared" si="11"/>
        <v>742357.77</v>
      </c>
      <c r="J271" s="42">
        <f t="shared" si="11"/>
        <v>219180.82</v>
      </c>
      <c r="K271" s="42">
        <f t="shared" si="11"/>
        <v>1483903.03</v>
      </c>
      <c r="L271" s="42">
        <f t="shared" si="11"/>
        <v>30998546.909999996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47811.92</v>
      </c>
      <c r="G276" s="18">
        <v>9291.91</v>
      </c>
      <c r="H276" s="18"/>
      <c r="I276" s="18">
        <v>3878.22</v>
      </c>
      <c r="J276" s="18">
        <v>4476.28</v>
      </c>
      <c r="K276" s="18"/>
      <c r="L276" s="19">
        <f>SUM(F276:K276)</f>
        <v>65458.33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85433.31</v>
      </c>
      <c r="G277" s="18">
        <v>14446.88</v>
      </c>
      <c r="H277" s="18">
        <v>26202.02</v>
      </c>
      <c r="I277" s="18">
        <v>7168.65</v>
      </c>
      <c r="J277" s="18">
        <v>9839.4</v>
      </c>
      <c r="K277" s="18"/>
      <c r="L277" s="19">
        <f>SUM(F277:K277)</f>
        <v>143090.26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663.85</v>
      </c>
      <c r="J279" s="18"/>
      <c r="K279" s="18"/>
      <c r="L279" s="19">
        <f>SUM(F279:K279)</f>
        <v>663.85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19200</v>
      </c>
      <c r="I281" s="18">
        <v>331.52</v>
      </c>
      <c r="J281" s="18"/>
      <c r="K281" s="18"/>
      <c r="L281" s="19">
        <f t="shared" ref="L281:L287" si="12">SUM(F281:K281)</f>
        <v>19531.52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4130.75</v>
      </c>
      <c r="G282" s="18">
        <v>1025.4000000000001</v>
      </c>
      <c r="H282" s="18">
        <v>43778.12</v>
      </c>
      <c r="I282" s="18">
        <v>9784.89</v>
      </c>
      <c r="J282" s="18"/>
      <c r="K282" s="18"/>
      <c r="L282" s="19">
        <f t="shared" si="12"/>
        <v>58719.16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>
        <v>12552.06</v>
      </c>
      <c r="K284" s="18"/>
      <c r="L284" s="19">
        <f t="shared" si="12"/>
        <v>12552.06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7403.41</v>
      </c>
      <c r="L285" s="19">
        <f t="shared" si="12"/>
        <v>7403.41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313.7</v>
      </c>
      <c r="I287" s="18"/>
      <c r="J287" s="18"/>
      <c r="K287" s="18"/>
      <c r="L287" s="19">
        <f t="shared" si="12"/>
        <v>313.7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111.59</v>
      </c>
      <c r="I288" s="18"/>
      <c r="J288" s="18">
        <v>8750.4599999999991</v>
      </c>
      <c r="K288" s="18"/>
      <c r="L288" s="19">
        <f>SUM(F288:K288)</f>
        <v>8862.0499999999993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137375.97999999998</v>
      </c>
      <c r="G290" s="42">
        <f t="shared" si="13"/>
        <v>24764.190000000002</v>
      </c>
      <c r="H290" s="42">
        <f t="shared" si="13"/>
        <v>89605.430000000008</v>
      </c>
      <c r="I290" s="42">
        <f t="shared" si="13"/>
        <v>21827.129999999997</v>
      </c>
      <c r="J290" s="42">
        <f t="shared" si="13"/>
        <v>35618.199999999997</v>
      </c>
      <c r="K290" s="42">
        <f t="shared" si="13"/>
        <v>7403.41</v>
      </c>
      <c r="L290" s="41">
        <f t="shared" si="13"/>
        <v>316594.33999999997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29304.080000000002</v>
      </c>
      <c r="G295" s="18">
        <v>5695.05</v>
      </c>
      <c r="H295" s="18"/>
      <c r="I295" s="18">
        <v>2376.98</v>
      </c>
      <c r="J295" s="18">
        <v>2743.52</v>
      </c>
      <c r="K295" s="18"/>
      <c r="L295" s="19">
        <f>SUM(F295:K295)</f>
        <v>40119.630000000005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48056.24</v>
      </c>
      <c r="G296" s="18">
        <v>8126.37</v>
      </c>
      <c r="H296" s="18">
        <v>14738.63</v>
      </c>
      <c r="I296" s="18">
        <v>4032.37</v>
      </c>
      <c r="J296" s="18">
        <v>5534.66</v>
      </c>
      <c r="K296" s="18"/>
      <c r="L296" s="19">
        <f>SUM(F296:K296)</f>
        <v>80488.27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2000</v>
      </c>
      <c r="G298" s="18"/>
      <c r="H298" s="18"/>
      <c r="I298" s="18"/>
      <c r="J298" s="18"/>
      <c r="K298" s="18"/>
      <c r="L298" s="19">
        <f>SUM(F298:K298)</f>
        <v>2000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10800</v>
      </c>
      <c r="I300" s="18">
        <v>186.48</v>
      </c>
      <c r="J300" s="18"/>
      <c r="K300" s="18"/>
      <c r="L300" s="19">
        <f t="shared" ref="L300:L306" si="14">SUM(F300:K300)</f>
        <v>10986.48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2531.75</v>
      </c>
      <c r="G301" s="18">
        <v>628.47</v>
      </c>
      <c r="H301" s="18">
        <v>26831.75</v>
      </c>
      <c r="I301" s="18">
        <v>5997.19</v>
      </c>
      <c r="J301" s="18"/>
      <c r="K301" s="18"/>
      <c r="L301" s="19">
        <f t="shared" si="14"/>
        <v>35989.160000000003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>
        <v>7693.19</v>
      </c>
      <c r="K303" s="18"/>
      <c r="L303" s="19">
        <f t="shared" si="14"/>
        <v>7693.19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4325.8599999999997</v>
      </c>
      <c r="L304" s="19">
        <f t="shared" si="14"/>
        <v>4325.8599999999997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>
        <v>68.39</v>
      </c>
      <c r="I307" s="18"/>
      <c r="J307" s="18">
        <v>7637.19</v>
      </c>
      <c r="K307" s="18"/>
      <c r="L307" s="19">
        <f>SUM(F307:K307)</f>
        <v>7705.58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81892.070000000007</v>
      </c>
      <c r="G309" s="42">
        <f t="shared" si="15"/>
        <v>14449.89</v>
      </c>
      <c r="H309" s="42">
        <f t="shared" si="15"/>
        <v>52438.77</v>
      </c>
      <c r="I309" s="42">
        <f t="shared" si="15"/>
        <v>12593.02</v>
      </c>
      <c r="J309" s="42">
        <f t="shared" si="15"/>
        <v>23608.559999999998</v>
      </c>
      <c r="K309" s="42">
        <f t="shared" si="15"/>
        <v>4325.8599999999997</v>
      </c>
      <c r="L309" s="41">
        <f t="shared" si="15"/>
        <v>189308.16999999998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219268.05</v>
      </c>
      <c r="G338" s="41">
        <f t="shared" si="20"/>
        <v>39214.080000000002</v>
      </c>
      <c r="H338" s="41">
        <f t="shared" si="20"/>
        <v>142044.20000000001</v>
      </c>
      <c r="I338" s="41">
        <f t="shared" si="20"/>
        <v>34420.149999999994</v>
      </c>
      <c r="J338" s="41">
        <f t="shared" si="20"/>
        <v>59226.759999999995</v>
      </c>
      <c r="K338" s="41">
        <f t="shared" si="20"/>
        <v>11729.27</v>
      </c>
      <c r="L338" s="41">
        <f t="shared" si="20"/>
        <v>505902.50999999995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219268.05</v>
      </c>
      <c r="G352" s="41">
        <f>G338</f>
        <v>39214.080000000002</v>
      </c>
      <c r="H352" s="41">
        <f>H338</f>
        <v>142044.20000000001</v>
      </c>
      <c r="I352" s="41">
        <f>I338</f>
        <v>34420.149999999994</v>
      </c>
      <c r="J352" s="41">
        <f>J338</f>
        <v>59226.759999999995</v>
      </c>
      <c r="K352" s="47">
        <f>K338+K351</f>
        <v>11729.27</v>
      </c>
      <c r="L352" s="41">
        <f>L338+L351</f>
        <v>505902.50999999995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31485.44+55632.42+1314+51035.13+1290</f>
        <v>140756.99</v>
      </c>
      <c r="G358" s="18">
        <f>21328.16+22995.59+1222.72+79.2+4090.28+4600.4+126.86+1660.64+6572.08+1583.16+41.4+3959.3+2188.36+158.56+1808.39</f>
        <v>72415.100000000006</v>
      </c>
      <c r="H358" s="18">
        <f>30.55+540+2264.71</f>
        <v>2835.26</v>
      </c>
      <c r="I358" s="18">
        <f>12844.23+132686.56+25239.01+1000.64</f>
        <v>171770.44000000003</v>
      </c>
      <c r="J358" s="18"/>
      <c r="K358" s="18">
        <f>384</f>
        <v>384</v>
      </c>
      <c r="L358" s="13">
        <f>SUM(F358:K358)</f>
        <v>388161.79000000004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f>17710.56+62310.6+1202</f>
        <v>81223.16</v>
      </c>
      <c r="G359" s="18">
        <f>11997.09+24573.76+1698.18+41.4+4500.49+2240.03+190.28+1896.87</f>
        <v>47138.1</v>
      </c>
      <c r="H359" s="18">
        <f>17.19+2778</f>
        <v>2795.19</v>
      </c>
      <c r="I359" s="18">
        <f>7224.88+74636.19+14196.95+562.86</f>
        <v>96620.88</v>
      </c>
      <c r="J359" s="18"/>
      <c r="K359" s="18">
        <f>216</f>
        <v>216</v>
      </c>
      <c r="L359" s="19">
        <f>SUM(F359:K359)</f>
        <v>227993.33000000002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221980.15</v>
      </c>
      <c r="G362" s="47">
        <f t="shared" si="22"/>
        <v>119553.20000000001</v>
      </c>
      <c r="H362" s="47">
        <f t="shared" si="22"/>
        <v>5630.4500000000007</v>
      </c>
      <c r="I362" s="47">
        <f t="shared" si="22"/>
        <v>268391.32000000007</v>
      </c>
      <c r="J362" s="47">
        <f t="shared" si="22"/>
        <v>0</v>
      </c>
      <c r="K362" s="47">
        <f t="shared" si="22"/>
        <v>600</v>
      </c>
      <c r="L362" s="47">
        <f t="shared" si="22"/>
        <v>616155.12000000011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132686.56+25239.01</f>
        <v>157925.57</v>
      </c>
      <c r="G367" s="18">
        <f>74636.19+14196.95</f>
        <v>88833.14</v>
      </c>
      <c r="H367" s="18"/>
      <c r="I367" s="56">
        <f>SUM(F367:H367)</f>
        <v>246758.71000000002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12844.23+1000.64</f>
        <v>13844.869999999999</v>
      </c>
      <c r="G368" s="63">
        <f>7224.88+562.86</f>
        <v>7787.74</v>
      </c>
      <c r="H368" s="63"/>
      <c r="I368" s="56">
        <f>SUM(F368:H368)</f>
        <v>21632.61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171770.44</v>
      </c>
      <c r="G369" s="47">
        <f>SUM(G367:G368)</f>
        <v>96620.88</v>
      </c>
      <c r="H369" s="47">
        <f>SUM(H367:H368)</f>
        <v>0</v>
      </c>
      <c r="I369" s="47">
        <f>SUM(I367:I368)</f>
        <v>268391.32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>
        <v>95500</v>
      </c>
      <c r="H388" s="18">
        <v>4670.34</v>
      </c>
      <c r="I388" s="18"/>
      <c r="J388" s="24" t="s">
        <v>286</v>
      </c>
      <c r="K388" s="24" t="s">
        <v>286</v>
      </c>
      <c r="L388" s="56">
        <f t="shared" si="25"/>
        <v>100170.34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95500</v>
      </c>
      <c r="H393" s="139">
        <f>SUM(H387:H392)</f>
        <v>4670.34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100170.34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4602.82</v>
      </c>
      <c r="I397" s="18"/>
      <c r="J397" s="24" t="s">
        <v>286</v>
      </c>
      <c r="K397" s="24" t="s">
        <v>286</v>
      </c>
      <c r="L397" s="56">
        <f t="shared" si="26"/>
        <v>4602.82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22.26</v>
      </c>
      <c r="I399" s="18"/>
      <c r="J399" s="24" t="s">
        <v>286</v>
      </c>
      <c r="K399" s="24" t="s">
        <v>286</v>
      </c>
      <c r="L399" s="56">
        <f t="shared" si="26"/>
        <v>22.26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4625.08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4625.08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95500</v>
      </c>
      <c r="H408" s="47">
        <f>H393+H401+H407</f>
        <v>9295.42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104795.42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336863.41</v>
      </c>
      <c r="G442" s="18">
        <f>272542.55+1315.05</f>
        <v>273857.59999999998</v>
      </c>
      <c r="H442" s="18"/>
      <c r="I442" s="56">
        <f t="shared" si="33"/>
        <v>610721.01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336863.41</v>
      </c>
      <c r="G446" s="13">
        <f>SUM(G439:G445)</f>
        <v>273857.59999999998</v>
      </c>
      <c r="H446" s="13">
        <f>SUM(H439:H445)</f>
        <v>0</v>
      </c>
      <c r="I446" s="13">
        <f>SUM(I439:I445)</f>
        <v>610721.01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336863.41</v>
      </c>
      <c r="G459" s="18">
        <v>273857.59999999998</v>
      </c>
      <c r="H459" s="18"/>
      <c r="I459" s="56">
        <f t="shared" si="34"/>
        <v>610721.01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336863.41</v>
      </c>
      <c r="G460" s="83">
        <f>SUM(G454:G459)</f>
        <v>273857.59999999998</v>
      </c>
      <c r="H460" s="83">
        <f>SUM(H454:H459)</f>
        <v>0</v>
      </c>
      <c r="I460" s="83">
        <f>SUM(I454:I459)</f>
        <v>610721.01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336863.41</v>
      </c>
      <c r="G461" s="42">
        <f>G452+G460</f>
        <v>273857.59999999998</v>
      </c>
      <c r="H461" s="42">
        <f>H452+H460</f>
        <v>0</v>
      </c>
      <c r="I461" s="42">
        <f>I452+I460</f>
        <v>610721.01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1638506.91</v>
      </c>
      <c r="G465" s="18">
        <v>10629.96</v>
      </c>
      <c r="H465" s="18"/>
      <c r="I465" s="18"/>
      <c r="J465" s="18">
        <v>505925.59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31376964.57</v>
      </c>
      <c r="G468" s="18">
        <v>627881.54</v>
      </c>
      <c r="H468" s="18">
        <v>505902.51</v>
      </c>
      <c r="I468" s="18"/>
      <c r="J468" s="18">
        <v>104795.42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31376964.57</v>
      </c>
      <c r="G470" s="53">
        <f>SUM(G468:G469)</f>
        <v>627881.54</v>
      </c>
      <c r="H470" s="53">
        <f>SUM(H468:H469)</f>
        <v>505902.51</v>
      </c>
      <c r="I470" s="53">
        <f>SUM(I468:I469)</f>
        <v>0</v>
      </c>
      <c r="J470" s="53">
        <f>SUM(J468:J469)</f>
        <v>104795.42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30998546.91</v>
      </c>
      <c r="G472" s="18">
        <v>616155.12</v>
      </c>
      <c r="H472" s="18">
        <v>505902.51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30998546.91</v>
      </c>
      <c r="G474" s="53">
        <f>SUM(G472:G473)</f>
        <v>616155.12</v>
      </c>
      <c r="H474" s="53">
        <f>SUM(H472:H473)</f>
        <v>505902.51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2016924.5700000003</v>
      </c>
      <c r="G476" s="53">
        <f>(G465+G470)- G474</f>
        <v>22356.380000000005</v>
      </c>
      <c r="H476" s="53">
        <f>(H465+H470)- H474</f>
        <v>0</v>
      </c>
      <c r="I476" s="53">
        <f>(I465+I470)- I474</f>
        <v>0</v>
      </c>
      <c r="J476" s="53">
        <f>(J465+J470)- J474</f>
        <v>610721.01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30732213.059999999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4.51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6190000</v>
      </c>
      <c r="G495" s="18"/>
      <c r="H495" s="18"/>
      <c r="I495" s="18"/>
      <c r="J495" s="18"/>
      <c r="K495" s="53">
        <f>SUM(F495:J495)</f>
        <v>6190000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1318625</v>
      </c>
      <c r="G497" s="18"/>
      <c r="H497" s="18"/>
      <c r="I497" s="18"/>
      <c r="J497" s="18"/>
      <c r="K497" s="53">
        <f t="shared" si="35"/>
        <v>1318625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5155000</v>
      </c>
      <c r="G498" s="204"/>
      <c r="H498" s="204"/>
      <c r="I498" s="204"/>
      <c r="J498" s="204"/>
      <c r="K498" s="205">
        <f t="shared" si="35"/>
        <v>5155000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927500</v>
      </c>
      <c r="G499" s="18"/>
      <c r="H499" s="18"/>
      <c r="I499" s="18"/>
      <c r="J499" s="18"/>
      <c r="K499" s="53">
        <f t="shared" si="35"/>
        <v>927500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6082500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6082500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1035000</v>
      </c>
      <c r="G501" s="204"/>
      <c r="H501" s="204"/>
      <c r="I501" s="204"/>
      <c r="J501" s="204"/>
      <c r="K501" s="205">
        <f t="shared" si="35"/>
        <v>1035000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231875</v>
      </c>
      <c r="G502" s="18"/>
      <c r="H502" s="18"/>
      <c r="I502" s="18"/>
      <c r="J502" s="18"/>
      <c r="K502" s="53">
        <f t="shared" si="35"/>
        <v>231875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1266875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1266875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85433.31+589371.47+33635.3+102855</f>
        <v>811295.08000000007</v>
      </c>
      <c r="G521" s="18">
        <f>6378.84+8068.04+411368.33+6154.65+55388.57</f>
        <v>487358.43000000005</v>
      </c>
      <c r="H521" s="18">
        <f>26010.02+192+14475.22+154948</f>
        <v>195625.24</v>
      </c>
      <c r="I521" s="18">
        <f>1982.06+2379.74+2806.85+1066.2+919.5</f>
        <v>9154.35</v>
      </c>
      <c r="J521" s="18">
        <f>8947.2+335.68+556.52</f>
        <v>9839.4000000000015</v>
      </c>
      <c r="K521" s="18">
        <f>920</f>
        <v>920</v>
      </c>
      <c r="L521" s="88">
        <f>SUM(F521:K521)</f>
        <v>1514192.5000000002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48056.24+388136.02+9842.53+37820.7</f>
        <v>483855.49000000005</v>
      </c>
      <c r="G522" s="18">
        <f>3588.1+4538.27+263444.66+1328.69+17682.94</f>
        <v>290582.65999999997</v>
      </c>
      <c r="H522" s="18">
        <f>14630.63+108+6608.25+184114.6</f>
        <v>205461.48</v>
      </c>
      <c r="I522" s="18">
        <f>1114.91+1338.61+1578.85+795.52+413.46</f>
        <v>5241.3499999999995</v>
      </c>
      <c r="J522" s="18">
        <f>5032.8+188.82+313.04</f>
        <v>5534.66</v>
      </c>
      <c r="K522" s="18"/>
      <c r="L522" s="88">
        <f>SUM(F522:K522)</f>
        <v>990675.64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100224.13</f>
        <v>100224.13</v>
      </c>
      <c r="G523" s="18">
        <f>76601.95</f>
        <v>76601.95</v>
      </c>
      <c r="H523" s="18">
        <f>10384.4+221959.24+2445228.77</f>
        <v>2677572.41</v>
      </c>
      <c r="I523" s="18"/>
      <c r="J523" s="18"/>
      <c r="K523" s="18"/>
      <c r="L523" s="88">
        <f>SUM(F523:K523)</f>
        <v>2854398.49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1395374.7000000002</v>
      </c>
      <c r="G524" s="108">
        <f t="shared" ref="G524:L524" si="36">SUM(G521:G523)</f>
        <v>854543.04</v>
      </c>
      <c r="H524" s="108">
        <f t="shared" si="36"/>
        <v>3078659.13</v>
      </c>
      <c r="I524" s="108">
        <f t="shared" si="36"/>
        <v>14395.7</v>
      </c>
      <c r="J524" s="108">
        <f t="shared" si="36"/>
        <v>15374.060000000001</v>
      </c>
      <c r="K524" s="108">
        <f t="shared" si="36"/>
        <v>920</v>
      </c>
      <c r="L524" s="89">
        <f t="shared" si="36"/>
        <v>5359266.6300000008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34492.99+345421.83</f>
        <v>379914.82</v>
      </c>
      <c r="G526" s="18">
        <f>288.88+18929.16+185994.06</f>
        <v>205212.1</v>
      </c>
      <c r="H526" s="18">
        <f>19200+211242.6+76186.25+89280.43+45233.83+2217.21</f>
        <v>443360.32</v>
      </c>
      <c r="I526" s="18">
        <f>331.52+1133.49+2910.46</f>
        <v>4375.47</v>
      </c>
      <c r="J526" s="18"/>
      <c r="K526" s="18"/>
      <c r="L526" s="88">
        <f>SUM(F526:K526)</f>
        <v>1032862.71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15746.8+77778</f>
        <v>93524.800000000003</v>
      </c>
      <c r="G527" s="18">
        <f>131.88+8641.57+45882.05</f>
        <v>54655.5</v>
      </c>
      <c r="H527" s="18">
        <f>10800+96436.84+34780.68+40758.46+20650.23+1042.7</f>
        <v>204468.91</v>
      </c>
      <c r="I527" s="18">
        <f>186.48+517.46+79.28</f>
        <v>783.22</v>
      </c>
      <c r="J527" s="18"/>
      <c r="K527" s="18"/>
      <c r="L527" s="88">
        <f>SUM(F527:K527)</f>
        <v>353432.42999999993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24744.97</f>
        <v>24744.97</v>
      </c>
      <c r="G528" s="18">
        <f>207.24+13579.62</f>
        <v>13786.86</v>
      </c>
      <c r="H528" s="18">
        <f>151543.6+54655.35+64049.01+32450.36</f>
        <v>302698.32</v>
      </c>
      <c r="I528" s="18">
        <f>813.16</f>
        <v>813.16</v>
      </c>
      <c r="J528" s="18"/>
      <c r="K528" s="18"/>
      <c r="L528" s="88">
        <f>SUM(F528:K528)</f>
        <v>342043.31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498184.58999999997</v>
      </c>
      <c r="G529" s="89">
        <f t="shared" ref="G529:L529" si="37">SUM(G526:G528)</f>
        <v>273654.46000000002</v>
      </c>
      <c r="H529" s="89">
        <f t="shared" si="37"/>
        <v>950527.55</v>
      </c>
      <c r="I529" s="89">
        <f t="shared" si="37"/>
        <v>5971.85</v>
      </c>
      <c r="J529" s="89">
        <f t="shared" si="37"/>
        <v>0</v>
      </c>
      <c r="K529" s="89">
        <f t="shared" si="37"/>
        <v>0</v>
      </c>
      <c r="L529" s="89">
        <f t="shared" si="37"/>
        <v>1728338.45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106421.62</f>
        <v>106421.62</v>
      </c>
      <c r="G531" s="18">
        <f>66255.08</f>
        <v>66255.08</v>
      </c>
      <c r="H531" s="18">
        <f>2431.91+2686.8+456.57+280</f>
        <v>5855.28</v>
      </c>
      <c r="I531" s="18">
        <f>5279.89</f>
        <v>5279.89</v>
      </c>
      <c r="J531" s="18">
        <f>1842.71</f>
        <v>1842.71</v>
      </c>
      <c r="K531" s="18"/>
      <c r="L531" s="88">
        <f>SUM(F531:K531)</f>
        <v>185654.58000000002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48583.78</f>
        <v>48583.78</v>
      </c>
      <c r="G532" s="18">
        <f>30246.89</f>
        <v>30246.89</v>
      </c>
      <c r="H532" s="18">
        <f>1110.22+1226.58+423.11</f>
        <v>2759.9100000000003</v>
      </c>
      <c r="I532" s="18">
        <f>2410.39</f>
        <v>2410.39</v>
      </c>
      <c r="J532" s="18">
        <f>841.24</f>
        <v>841.24</v>
      </c>
      <c r="K532" s="18"/>
      <c r="L532" s="88">
        <f>SUM(F532:K532)</f>
        <v>84842.21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76345.95</f>
        <v>76345.95</v>
      </c>
      <c r="G533" s="18">
        <f>47530.82</f>
        <v>47530.82</v>
      </c>
      <c r="H533" s="18">
        <f>1744.63+1927.48</f>
        <v>3672.11</v>
      </c>
      <c r="I533" s="18">
        <f>3787.75</f>
        <v>3787.75</v>
      </c>
      <c r="J533" s="18">
        <f>1321.94</f>
        <v>1321.94</v>
      </c>
      <c r="K533" s="18"/>
      <c r="L533" s="88">
        <f>SUM(F533:K533)</f>
        <v>132658.57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231351.34999999998</v>
      </c>
      <c r="G534" s="89">
        <f t="shared" ref="G534:L534" si="38">SUM(G531:G533)</f>
        <v>144032.79</v>
      </c>
      <c r="H534" s="89">
        <f t="shared" si="38"/>
        <v>12287.300000000001</v>
      </c>
      <c r="I534" s="89">
        <f t="shared" si="38"/>
        <v>11478.03</v>
      </c>
      <c r="J534" s="89">
        <f t="shared" si="38"/>
        <v>4005.89</v>
      </c>
      <c r="K534" s="89">
        <f t="shared" si="38"/>
        <v>0</v>
      </c>
      <c r="L534" s="89">
        <f t="shared" si="38"/>
        <v>403155.36000000004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15791.7</v>
      </c>
      <c r="I536" s="18"/>
      <c r="J536" s="18"/>
      <c r="K536" s="18"/>
      <c r="L536" s="88">
        <f>SUM(F536:K536)</f>
        <v>15791.7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8925.75</v>
      </c>
      <c r="I537" s="18"/>
      <c r="J537" s="18"/>
      <c r="K537" s="18"/>
      <c r="L537" s="88">
        <f>SUM(F537:K537)</f>
        <v>8925.75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9612.34</v>
      </c>
      <c r="I538" s="18"/>
      <c r="J538" s="18"/>
      <c r="K538" s="18"/>
      <c r="L538" s="88">
        <f>SUM(F538:K538)</f>
        <v>9612.34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34329.79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34329.79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258875.28</v>
      </c>
      <c r="I541" s="18"/>
      <c r="J541" s="18"/>
      <c r="K541" s="18"/>
      <c r="L541" s="88">
        <f>SUM(F541:K541)</f>
        <v>258875.28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145617.35</v>
      </c>
      <c r="I542" s="18"/>
      <c r="J542" s="18"/>
      <c r="K542" s="18"/>
      <c r="L542" s="88">
        <f>SUM(F542:K542)</f>
        <v>145617.35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134830.88</v>
      </c>
      <c r="I543" s="18"/>
      <c r="J543" s="18"/>
      <c r="K543" s="18"/>
      <c r="L543" s="88">
        <f>SUM(F543:K543)</f>
        <v>134830.88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539323.51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539323.51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2124910.64</v>
      </c>
      <c r="G545" s="89">
        <f t="shared" ref="G545:L545" si="41">G524+G529+G534+G539+G544</f>
        <v>1272230.29</v>
      </c>
      <c r="H545" s="89">
        <f t="shared" si="41"/>
        <v>4615127.2799999993</v>
      </c>
      <c r="I545" s="89">
        <f t="shared" si="41"/>
        <v>31845.58</v>
      </c>
      <c r="J545" s="89">
        <f t="shared" si="41"/>
        <v>19379.95</v>
      </c>
      <c r="K545" s="89">
        <f t="shared" si="41"/>
        <v>920</v>
      </c>
      <c r="L545" s="89">
        <f t="shared" si="41"/>
        <v>8064413.7400000012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1514192.5000000002</v>
      </c>
      <c r="G549" s="87">
        <f>L526</f>
        <v>1032862.71</v>
      </c>
      <c r="H549" s="87">
        <f>L531</f>
        <v>185654.58000000002</v>
      </c>
      <c r="I549" s="87">
        <f>L536</f>
        <v>15791.7</v>
      </c>
      <c r="J549" s="87">
        <f>L541</f>
        <v>258875.28</v>
      </c>
      <c r="K549" s="87">
        <f>SUM(F549:J549)</f>
        <v>3007376.77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990675.64</v>
      </c>
      <c r="G550" s="87">
        <f>L527</f>
        <v>353432.42999999993</v>
      </c>
      <c r="H550" s="87">
        <f>L532</f>
        <v>84842.21</v>
      </c>
      <c r="I550" s="87">
        <f>L537</f>
        <v>8925.75</v>
      </c>
      <c r="J550" s="87">
        <f>L542</f>
        <v>145617.35</v>
      </c>
      <c r="K550" s="87">
        <f>SUM(F550:J550)</f>
        <v>1583493.38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2854398.49</v>
      </c>
      <c r="G551" s="87">
        <f>L528</f>
        <v>342043.31</v>
      </c>
      <c r="H551" s="87">
        <f>L533</f>
        <v>132658.57</v>
      </c>
      <c r="I551" s="87">
        <f>L538</f>
        <v>9612.34</v>
      </c>
      <c r="J551" s="87">
        <f>L543</f>
        <v>134830.88</v>
      </c>
      <c r="K551" s="87">
        <f>SUM(F551:J551)</f>
        <v>3473543.59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5359266.6300000008</v>
      </c>
      <c r="G552" s="89">
        <f t="shared" si="42"/>
        <v>1728338.45</v>
      </c>
      <c r="H552" s="89">
        <f t="shared" si="42"/>
        <v>403155.36000000004</v>
      </c>
      <c r="I552" s="89">
        <f t="shared" si="42"/>
        <v>34329.79</v>
      </c>
      <c r="J552" s="89">
        <f t="shared" si="42"/>
        <v>539323.51</v>
      </c>
      <c r="K552" s="89">
        <f t="shared" si="42"/>
        <v>8064413.7400000002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102855</v>
      </c>
      <c r="G562" s="18">
        <v>55388.57</v>
      </c>
      <c r="H562" s="18"/>
      <c r="I562" s="18">
        <f>899.57+19.93</f>
        <v>919.5</v>
      </c>
      <c r="J562" s="18"/>
      <c r="K562" s="18"/>
      <c r="L562" s="88">
        <f>SUM(F562:K562)</f>
        <v>159163.07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37820.7</f>
        <v>37820.699999999997</v>
      </c>
      <c r="G563" s="18">
        <f>17682.94</f>
        <v>17682.939999999999</v>
      </c>
      <c r="H563" s="18"/>
      <c r="I563" s="18">
        <f>413.46</f>
        <v>413.46</v>
      </c>
      <c r="J563" s="18"/>
      <c r="K563" s="18"/>
      <c r="L563" s="88">
        <f>SUM(F563:K563)</f>
        <v>55917.1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140675.70000000001</v>
      </c>
      <c r="G565" s="89">
        <f t="shared" si="44"/>
        <v>73071.509999999995</v>
      </c>
      <c r="H565" s="89">
        <f t="shared" si="44"/>
        <v>0</v>
      </c>
      <c r="I565" s="89">
        <f t="shared" si="44"/>
        <v>1332.96</v>
      </c>
      <c r="J565" s="89">
        <f t="shared" si="44"/>
        <v>0</v>
      </c>
      <c r="K565" s="89">
        <f t="shared" si="44"/>
        <v>0</v>
      </c>
      <c r="L565" s="89">
        <f t="shared" si="44"/>
        <v>215080.17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92566.26</v>
      </c>
      <c r="G567" s="18">
        <v>37604.660000000003</v>
      </c>
      <c r="H567" s="18"/>
      <c r="I567" s="18">
        <v>838.16</v>
      </c>
      <c r="J567" s="18"/>
      <c r="K567" s="18">
        <v>1376</v>
      </c>
      <c r="L567" s="88">
        <f>SUM(F567:K567)</f>
        <v>132385.08000000002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41587.74</v>
      </c>
      <c r="G568" s="18">
        <v>16894.849999999999</v>
      </c>
      <c r="H568" s="18">
        <v>6328.8</v>
      </c>
      <c r="I568" s="18">
        <v>721.64</v>
      </c>
      <c r="J568" s="18"/>
      <c r="K568" s="18"/>
      <c r="L568" s="88">
        <f>SUM(F568:K568)</f>
        <v>65533.03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134154</v>
      </c>
      <c r="G570" s="193">
        <f t="shared" ref="G570:L570" si="45">SUM(G567:G569)</f>
        <v>54499.51</v>
      </c>
      <c r="H570" s="193">
        <f t="shared" si="45"/>
        <v>6328.8</v>
      </c>
      <c r="I570" s="193">
        <f t="shared" si="45"/>
        <v>1559.8</v>
      </c>
      <c r="J570" s="193">
        <f t="shared" si="45"/>
        <v>0</v>
      </c>
      <c r="K570" s="193">
        <f t="shared" si="45"/>
        <v>1376</v>
      </c>
      <c r="L570" s="193">
        <f t="shared" si="45"/>
        <v>197918.11000000002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274829.7</v>
      </c>
      <c r="G571" s="89">
        <f t="shared" ref="G571:L571" si="46">G560+G565+G570</f>
        <v>127571.01999999999</v>
      </c>
      <c r="H571" s="89">
        <f t="shared" si="46"/>
        <v>6328.8</v>
      </c>
      <c r="I571" s="89">
        <f t="shared" si="46"/>
        <v>2892.76</v>
      </c>
      <c r="J571" s="89">
        <f t="shared" si="46"/>
        <v>0</v>
      </c>
      <c r="K571" s="89">
        <f t="shared" si="46"/>
        <v>1376</v>
      </c>
      <c r="L571" s="89">
        <f t="shared" si="46"/>
        <v>412998.28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3341966.04</v>
      </c>
      <c r="I575" s="87">
        <f>SUM(F575:H575)</f>
        <v>3341966.04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3695385.5</v>
      </c>
      <c r="I577" s="87">
        <f t="shared" si="47"/>
        <v>3695385.5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>
        <v>6328.8</v>
      </c>
      <c r="H579" s="18">
        <v>471431.21</v>
      </c>
      <c r="I579" s="87">
        <f t="shared" si="47"/>
        <v>477760.01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1089815.1200000001</v>
      </c>
      <c r="I581" s="87">
        <f t="shared" si="47"/>
        <v>1089815.1200000001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154948</v>
      </c>
      <c r="G582" s="18">
        <v>184114.6</v>
      </c>
      <c r="H582" s="18">
        <v>883982.44</v>
      </c>
      <c r="I582" s="87">
        <f t="shared" si="47"/>
        <v>1223045.04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441032.58</v>
      </c>
      <c r="I591" s="18">
        <v>264619.53999999998</v>
      </c>
      <c r="J591" s="18">
        <v>274420.27</v>
      </c>
      <c r="K591" s="104">
        <f t="shared" ref="K591:K597" si="48">SUM(H591:J591)</f>
        <v>980072.39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258875.28</v>
      </c>
      <c r="I592" s="18">
        <v>145617.35</v>
      </c>
      <c r="J592" s="18">
        <v>134830.88</v>
      </c>
      <c r="K592" s="104">
        <f t="shared" si="48"/>
        <v>539323.51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4355.7</v>
      </c>
      <c r="I595" s="18">
        <v>26762.58</v>
      </c>
      <c r="J595" s="18"/>
      <c r="K595" s="104">
        <f t="shared" si="48"/>
        <v>31118.280000000002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704263.55999999994</v>
      </c>
      <c r="I598" s="108">
        <f>SUM(I591:I597)</f>
        <v>436999.47000000003</v>
      </c>
      <c r="J598" s="108">
        <f>SUM(J591:J597)</f>
        <v>409251.15</v>
      </c>
      <c r="K598" s="108">
        <f>SUM(K591:K597)</f>
        <v>1550514.18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175557.75</v>
      </c>
      <c r="I604" s="18">
        <v>102849.83</v>
      </c>
      <c r="J604" s="18"/>
      <c r="K604" s="104">
        <f>SUM(H604:J604)</f>
        <v>278407.58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175557.75</v>
      </c>
      <c r="I605" s="108">
        <f>SUM(I602:I604)</f>
        <v>102849.83</v>
      </c>
      <c r="J605" s="108">
        <f>SUM(J602:J604)</f>
        <v>0</v>
      </c>
      <c r="K605" s="108">
        <f>SUM(K602:K604)</f>
        <v>278407.58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12050</v>
      </c>
      <c r="G611" s="18">
        <v>2329.6799999999998</v>
      </c>
      <c r="H611" s="18"/>
      <c r="I611" s="18">
        <v>2284.54</v>
      </c>
      <c r="J611" s="18"/>
      <c r="K611" s="18"/>
      <c r="L611" s="88">
        <f>SUM(F611:K611)</f>
        <v>16664.22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7600</f>
        <v>7600</v>
      </c>
      <c r="G612" s="18">
        <f>581.41+477.4</f>
        <v>1058.81</v>
      </c>
      <c r="H612" s="18"/>
      <c r="I612" s="18">
        <f>1835.08</f>
        <v>1835.08</v>
      </c>
      <c r="J612" s="18"/>
      <c r="K612" s="18"/>
      <c r="L612" s="88">
        <f>SUM(F612:K612)</f>
        <v>10493.89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19650</v>
      </c>
      <c r="G614" s="108">
        <f t="shared" si="49"/>
        <v>3388.49</v>
      </c>
      <c r="H614" s="108">
        <f t="shared" si="49"/>
        <v>0</v>
      </c>
      <c r="I614" s="108">
        <f t="shared" si="49"/>
        <v>4119.62</v>
      </c>
      <c r="J614" s="108">
        <f t="shared" si="49"/>
        <v>0</v>
      </c>
      <c r="K614" s="108">
        <f t="shared" si="49"/>
        <v>0</v>
      </c>
      <c r="L614" s="89">
        <f t="shared" si="49"/>
        <v>27158.11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2383896.8499999996</v>
      </c>
      <c r="H617" s="109">
        <f>SUM(F52)</f>
        <v>2383896.85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35136.910000000003</v>
      </c>
      <c r="H618" s="109">
        <f>SUM(G52)</f>
        <v>35136.910000000003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139157.82</v>
      </c>
      <c r="H619" s="109">
        <f>SUM(H52)</f>
        <v>139157.81999999998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610721.01</v>
      </c>
      <c r="H621" s="109">
        <f>SUM(J52)</f>
        <v>610721.01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2016924.57</v>
      </c>
      <c r="H622" s="109">
        <f>F476</f>
        <v>2016924.5700000003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22356.38</v>
      </c>
      <c r="H623" s="109">
        <f>G476</f>
        <v>22356.380000000005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610721.01</v>
      </c>
      <c r="H626" s="109">
        <f>J476</f>
        <v>610721.01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31376964.57</v>
      </c>
      <c r="H627" s="104">
        <f>SUM(F468)</f>
        <v>31376964.57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627881.54</v>
      </c>
      <c r="H628" s="104">
        <f>SUM(G468)</f>
        <v>627881.54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505902.50999999995</v>
      </c>
      <c r="H629" s="104">
        <f>SUM(H468)</f>
        <v>505902.51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104795.42</v>
      </c>
      <c r="H631" s="104">
        <f>SUM(J468)</f>
        <v>104795.42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30998546.909999996</v>
      </c>
      <c r="H632" s="104">
        <f>SUM(F472)</f>
        <v>30998546.91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505902.50999999995</v>
      </c>
      <c r="H633" s="104">
        <f>SUM(H472)</f>
        <v>505902.51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268391.32000000007</v>
      </c>
      <c r="H634" s="104">
        <f>I369</f>
        <v>268391.32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616155.12000000011</v>
      </c>
      <c r="H635" s="104">
        <f>SUM(G472)</f>
        <v>616155.12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104795.42</v>
      </c>
      <c r="H637" s="164">
        <f>SUM(J468)</f>
        <v>104795.42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336863.41</v>
      </c>
      <c r="H639" s="104">
        <f>SUM(F461)</f>
        <v>336863.41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273857.59999999998</v>
      </c>
      <c r="H640" s="104">
        <f>SUM(G461)</f>
        <v>273857.59999999998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610721.01</v>
      </c>
      <c r="H642" s="104">
        <f>SUM(I461)</f>
        <v>610721.01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9295.42</v>
      </c>
      <c r="H644" s="104">
        <f>H408</f>
        <v>9295.42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95500</v>
      </c>
      <c r="H645" s="104">
        <f>G408</f>
        <v>95500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104795.42</v>
      </c>
      <c r="H646" s="104">
        <f>L408</f>
        <v>104795.42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1550514.18</v>
      </c>
      <c r="H647" s="104">
        <f>L208+L226+L244</f>
        <v>1550514.1800000002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278407.58</v>
      </c>
      <c r="H648" s="104">
        <f>(J257+J338)-(J255+J336)</f>
        <v>278407.58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704263.55999999994</v>
      </c>
      <c r="H649" s="104">
        <f>H598</f>
        <v>704263.55999999994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436999.47000000003</v>
      </c>
      <c r="H650" s="104">
        <f>I598</f>
        <v>436999.47000000003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409251.15</v>
      </c>
      <c r="H651" s="104">
        <f>J598</f>
        <v>409251.15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95500</v>
      </c>
      <c r="H655" s="104">
        <f>K266+K347</f>
        <v>95500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12752340.32</v>
      </c>
      <c r="G660" s="19">
        <f>(L229+L309+L359)</f>
        <v>7497593.5699999994</v>
      </c>
      <c r="H660" s="19">
        <f>(L247+L328+L360)</f>
        <v>10395724.34</v>
      </c>
      <c r="I660" s="19">
        <f>SUM(F660:H660)</f>
        <v>30645658.23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264157.9328562275</v>
      </c>
      <c r="G661" s="19">
        <f>(L359/IF(SUM(L358:L360)=0,1,SUM(L358:L360))*(SUM(G97:G110)))</f>
        <v>155157.58714377249</v>
      </c>
      <c r="H661" s="19">
        <f>(L360/IF(SUM(L358:L360)=0,1,SUM(L358:L360))*(SUM(G97:G110)))</f>
        <v>0</v>
      </c>
      <c r="I661" s="19">
        <f>SUM(F661:H661)</f>
        <v>419315.52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704577.25999999989</v>
      </c>
      <c r="G662" s="19">
        <f>(L226+L306)-(J226+J306)</f>
        <v>436999.47000000003</v>
      </c>
      <c r="H662" s="19">
        <f>(L244+L325)-(J244+J325)</f>
        <v>409251.15</v>
      </c>
      <c r="I662" s="19">
        <f>SUM(F662:H662)</f>
        <v>1550827.88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347169.97</v>
      </c>
      <c r="G663" s="199">
        <f>SUM(G575:G587)+SUM(I602:I604)+L612</f>
        <v>303787.12</v>
      </c>
      <c r="H663" s="199">
        <f>SUM(H575:H587)+SUM(J602:J604)+L613</f>
        <v>9482580.3100000005</v>
      </c>
      <c r="I663" s="19">
        <f>SUM(F663:H663)</f>
        <v>10133537.4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11436435.157143774</v>
      </c>
      <c r="G664" s="19">
        <f>G660-SUM(G661:G663)</f>
        <v>6601649.3928562272</v>
      </c>
      <c r="H664" s="19">
        <f>H660-SUM(H661:H663)</f>
        <v>503892.87999999896</v>
      </c>
      <c r="I664" s="19">
        <f>I660-SUM(I661:I663)</f>
        <v>18541977.43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756.64</v>
      </c>
      <c r="G665" s="248">
        <v>488.45</v>
      </c>
      <c r="H665" s="248"/>
      <c r="I665" s="19">
        <f>SUM(F665:H665)</f>
        <v>1245.0899999999999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15114.76</v>
      </c>
      <c r="G667" s="19">
        <f>ROUND(G664/G665,2)</f>
        <v>13515.51</v>
      </c>
      <c r="H667" s="19" t="e">
        <f>ROUND(H664/H665,2)</f>
        <v>#DIV/0!</v>
      </c>
      <c r="I667" s="19">
        <f>ROUND(I664/I665,2)</f>
        <v>14892.08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-503892.88</v>
      </c>
      <c r="I669" s="19">
        <f>SUM(F669:H669)</f>
        <v>-503892.88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15114.76</v>
      </c>
      <c r="G672" s="19">
        <f>ROUND((G664+G669)/(G665+G670),2)</f>
        <v>13515.51</v>
      </c>
      <c r="H672" s="19" t="e">
        <f>ROUND((H664+H669)/(H665+H670),2)</f>
        <v>#DIV/0!</v>
      </c>
      <c r="I672" s="19">
        <f>ROUND((I664+I669)/(I665+I670),2)</f>
        <v>14487.37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Hooksett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5036238.68</v>
      </c>
      <c r="C9" s="229">
        <f>'DOE25'!G197+'DOE25'!G215+'DOE25'!G233+'DOE25'!G276+'DOE25'!G295+'DOE25'!G314</f>
        <v>2849611.12</v>
      </c>
    </row>
    <row r="10" spans="1:3" x14ac:dyDescent="0.2">
      <c r="A10" t="s">
        <v>773</v>
      </c>
      <c r="B10" s="240">
        <v>4780682.18</v>
      </c>
      <c r="C10" s="240">
        <v>2707130.56</v>
      </c>
    </row>
    <row r="11" spans="1:3" x14ac:dyDescent="0.2">
      <c r="A11" t="s">
        <v>774</v>
      </c>
      <c r="B11" s="240">
        <v>67955.289999999994</v>
      </c>
      <c r="C11" s="240">
        <v>28496.11</v>
      </c>
    </row>
    <row r="12" spans="1:3" x14ac:dyDescent="0.2">
      <c r="A12" t="s">
        <v>775</v>
      </c>
      <c r="B12" s="240">
        <v>187601.21</v>
      </c>
      <c r="C12" s="240">
        <v>113984.45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5036238.68</v>
      </c>
      <c r="C13" s="231">
        <f>SUM(C10:C12)</f>
        <v>2849611.12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1760880.0500000003</v>
      </c>
      <c r="C18" s="229">
        <f>'DOE25'!G198+'DOE25'!G216+'DOE25'!G234+'DOE25'!G277+'DOE25'!G296+'DOE25'!G315</f>
        <v>1053075.3400000001</v>
      </c>
    </row>
    <row r="19" spans="1:3" x14ac:dyDescent="0.2">
      <c r="A19" t="s">
        <v>773</v>
      </c>
      <c r="B19" s="240">
        <v>928315.39</v>
      </c>
      <c r="C19" s="240">
        <v>558129.93000000005</v>
      </c>
    </row>
    <row r="20" spans="1:3" x14ac:dyDescent="0.2">
      <c r="A20" t="s">
        <v>774</v>
      </c>
      <c r="B20" s="240">
        <v>500420.01</v>
      </c>
      <c r="C20" s="240">
        <v>294861.09999999998</v>
      </c>
    </row>
    <row r="21" spans="1:3" x14ac:dyDescent="0.2">
      <c r="A21" t="s">
        <v>775</v>
      </c>
      <c r="B21" s="240">
        <v>332144.65000000002</v>
      </c>
      <c r="C21" s="240">
        <v>200084.31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1760880.0499999998</v>
      </c>
      <c r="C22" s="231">
        <f>SUM(C19:C21)</f>
        <v>1053075.3400000001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75013.56</v>
      </c>
      <c r="C36" s="235">
        <f>'DOE25'!G200+'DOE25'!G218+'DOE25'!G236+'DOE25'!G279+'DOE25'!G298+'DOE25'!G317</f>
        <v>15149.909999999998</v>
      </c>
    </row>
    <row r="37" spans="1:3" x14ac:dyDescent="0.2">
      <c r="A37" t="s">
        <v>773</v>
      </c>
      <c r="B37" s="240">
        <v>7600</v>
      </c>
      <c r="C37" s="240">
        <v>1058.81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67413.56</v>
      </c>
      <c r="C39" s="240">
        <v>14091.1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75013.56</v>
      </c>
      <c r="C40" s="231">
        <f>SUM(C37:C39)</f>
        <v>15149.91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Hooksett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21386300.559999999</v>
      </c>
      <c r="D5" s="20">
        <f>SUM('DOE25'!L197:L200)+SUM('DOE25'!L215:L218)+SUM('DOE25'!L233:L236)-F5-G5</f>
        <v>21366599.199999999</v>
      </c>
      <c r="E5" s="243"/>
      <c r="F5" s="255">
        <f>SUM('DOE25'!J197:J200)+SUM('DOE25'!J215:J218)+SUM('DOE25'!J233:J236)</f>
        <v>14587.36</v>
      </c>
      <c r="G5" s="53">
        <f>SUM('DOE25'!K197:K200)+SUM('DOE25'!K215:K218)+SUM('DOE25'!K233:K236)</f>
        <v>5114</v>
      </c>
      <c r="H5" s="259"/>
    </row>
    <row r="6" spans="1:9" x14ac:dyDescent="0.2">
      <c r="A6" s="32">
        <v>2100</v>
      </c>
      <c r="B6" t="s">
        <v>795</v>
      </c>
      <c r="C6" s="245">
        <f t="shared" si="0"/>
        <v>2019619.15</v>
      </c>
      <c r="D6" s="20">
        <f>'DOE25'!L202+'DOE25'!L220+'DOE25'!L238-F6-G6</f>
        <v>2011816.95</v>
      </c>
      <c r="E6" s="243"/>
      <c r="F6" s="255">
        <f>'DOE25'!J202+'DOE25'!J220+'DOE25'!J238</f>
        <v>3025</v>
      </c>
      <c r="G6" s="53">
        <f>'DOE25'!K202+'DOE25'!K220+'DOE25'!K238</f>
        <v>4777.2</v>
      </c>
      <c r="H6" s="259"/>
    </row>
    <row r="7" spans="1:9" x14ac:dyDescent="0.2">
      <c r="A7" s="32">
        <v>2200</v>
      </c>
      <c r="B7" t="s">
        <v>828</v>
      </c>
      <c r="C7" s="245">
        <f t="shared" si="0"/>
        <v>552774.01</v>
      </c>
      <c r="D7" s="20">
        <f>'DOE25'!L203+'DOE25'!L221+'DOE25'!L239-F7-G7</f>
        <v>515460.56</v>
      </c>
      <c r="E7" s="243"/>
      <c r="F7" s="255">
        <f>'DOE25'!J203+'DOE25'!J221+'DOE25'!J239</f>
        <v>36638.449999999997</v>
      </c>
      <c r="G7" s="53">
        <f>'DOE25'!K203+'DOE25'!K221+'DOE25'!K239</f>
        <v>675</v>
      </c>
      <c r="H7" s="259"/>
    </row>
    <row r="8" spans="1:9" x14ac:dyDescent="0.2">
      <c r="A8" s="32">
        <v>2300</v>
      </c>
      <c r="B8" t="s">
        <v>796</v>
      </c>
      <c r="C8" s="245">
        <f t="shared" si="0"/>
        <v>447127.05</v>
      </c>
      <c r="D8" s="243"/>
      <c r="E8" s="20">
        <f>'DOE25'!L204+'DOE25'!L222+'DOE25'!L240-F8-G8-D9-D11</f>
        <v>440835.52999999997</v>
      </c>
      <c r="F8" s="255">
        <f>'DOE25'!J204+'DOE25'!J222+'DOE25'!J240</f>
        <v>0</v>
      </c>
      <c r="G8" s="53">
        <f>'DOE25'!K204+'DOE25'!K222+'DOE25'!K240</f>
        <v>6291.5199999999995</v>
      </c>
      <c r="H8" s="259"/>
    </row>
    <row r="9" spans="1:9" x14ac:dyDescent="0.2">
      <c r="A9" s="32">
        <v>2310</v>
      </c>
      <c r="B9" t="s">
        <v>812</v>
      </c>
      <c r="C9" s="245">
        <f t="shared" si="0"/>
        <v>107060.76</v>
      </c>
      <c r="D9" s="244">
        <v>107060.76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12285</v>
      </c>
      <c r="D10" s="243"/>
      <c r="E10" s="244">
        <v>12285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270993.95</v>
      </c>
      <c r="D11" s="244">
        <v>270993.95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1197440.6599999999</v>
      </c>
      <c r="D12" s="20">
        <f>'DOE25'!L205+'DOE25'!L223+'DOE25'!L241-F12-G12</f>
        <v>1191108.9099999999</v>
      </c>
      <c r="E12" s="243"/>
      <c r="F12" s="255">
        <f>'DOE25'!J205+'DOE25'!J223+'DOE25'!J241</f>
        <v>1408.75</v>
      </c>
      <c r="G12" s="53">
        <f>'DOE25'!K205+'DOE25'!K223+'DOE25'!K241</f>
        <v>4923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1655477.47</v>
      </c>
      <c r="D14" s="20">
        <f>'DOE25'!L207+'DOE25'!L225+'DOE25'!L243-F14-G14</f>
        <v>1617847.06</v>
      </c>
      <c r="E14" s="243"/>
      <c r="F14" s="255">
        <f>'DOE25'!J207+'DOE25'!J225+'DOE25'!J243</f>
        <v>37630.409999999996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1550514.1800000002</v>
      </c>
      <c r="D15" s="20">
        <f>'DOE25'!L208+'DOE25'!L226+'DOE25'!L244-F15-G15</f>
        <v>1550514.1800000002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336292.81</v>
      </c>
      <c r="D16" s="243"/>
      <c r="E16" s="20">
        <f>'DOE25'!L209+'DOE25'!L227+'DOE25'!L245-F16-G16</f>
        <v>210061.96</v>
      </c>
      <c r="F16" s="255">
        <f>'DOE25'!J209+'DOE25'!J227+'DOE25'!J245</f>
        <v>125890.85</v>
      </c>
      <c r="G16" s="53">
        <f>'DOE25'!K209+'DOE25'!K227+'DOE25'!K245</f>
        <v>340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13164</v>
      </c>
      <c r="D22" s="243"/>
      <c r="E22" s="243"/>
      <c r="F22" s="255">
        <f>'DOE25'!L255+'DOE25'!L336</f>
        <v>13164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1318625</v>
      </c>
      <c r="D25" s="243"/>
      <c r="E25" s="243"/>
      <c r="F25" s="258"/>
      <c r="G25" s="256"/>
      <c r="H25" s="257">
        <f>'DOE25'!L260+'DOE25'!L261+'DOE25'!L341+'DOE25'!L342</f>
        <v>1318625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369396.41000000009</v>
      </c>
      <c r="D29" s="20">
        <f>'DOE25'!L358+'DOE25'!L359+'DOE25'!L360-'DOE25'!I367-F29-G29</f>
        <v>368796.41000000009</v>
      </c>
      <c r="E29" s="243"/>
      <c r="F29" s="255">
        <f>'DOE25'!J358+'DOE25'!J359+'DOE25'!J360</f>
        <v>0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505902.50999999995</v>
      </c>
      <c r="D31" s="20">
        <f>'DOE25'!L290+'DOE25'!L309+'DOE25'!L328+'DOE25'!L333+'DOE25'!L334+'DOE25'!L335-F31-G31</f>
        <v>434946.47999999992</v>
      </c>
      <c r="E31" s="243"/>
      <c r="F31" s="255">
        <f>'DOE25'!J290+'DOE25'!J309+'DOE25'!J328+'DOE25'!J333+'DOE25'!J334+'DOE25'!J335</f>
        <v>59226.759999999995</v>
      </c>
      <c r="G31" s="53">
        <f>'DOE25'!K290+'DOE25'!K309+'DOE25'!K328+'DOE25'!K333+'DOE25'!K334+'DOE25'!K335</f>
        <v>11729.27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29435144.459999997</v>
      </c>
      <c r="E33" s="246">
        <f>SUM(E5:E31)</f>
        <v>663182.49</v>
      </c>
      <c r="F33" s="246">
        <f>SUM(F5:F31)</f>
        <v>291571.58</v>
      </c>
      <c r="G33" s="246">
        <f>SUM(G5:G31)</f>
        <v>34449.990000000005</v>
      </c>
      <c r="H33" s="246">
        <f>SUM(H5:H31)</f>
        <v>1318625</v>
      </c>
    </row>
    <row r="35" spans="2:8" ht="12" thickBot="1" x14ac:dyDescent="0.25">
      <c r="B35" s="253" t="s">
        <v>841</v>
      </c>
      <c r="D35" s="254">
        <f>E33</f>
        <v>663182.49</v>
      </c>
      <c r="E35" s="249"/>
    </row>
    <row r="36" spans="2:8" ht="12" thickTop="1" x14ac:dyDescent="0.2">
      <c r="B36" t="s">
        <v>809</v>
      </c>
      <c r="D36" s="20">
        <f>D33</f>
        <v>29435144.459999997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2194895.5499999998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132268.96</v>
      </c>
      <c r="D11" s="95">
        <f>'DOE25'!G12</f>
        <v>22861.4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55820.32</v>
      </c>
      <c r="D12" s="95">
        <f>'DOE25'!G13</f>
        <v>11814.62</v>
      </c>
      <c r="E12" s="95">
        <f>'DOE25'!H13</f>
        <v>118912.57</v>
      </c>
      <c r="F12" s="95">
        <f>'DOE25'!I13</f>
        <v>0</v>
      </c>
      <c r="G12" s="95">
        <f>'DOE25'!J13</f>
        <v>610721.01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912.02</v>
      </c>
      <c r="D13" s="95">
        <f>'DOE25'!G14</f>
        <v>460.89</v>
      </c>
      <c r="E13" s="95">
        <f>'DOE25'!H14</f>
        <v>20245.25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2383896.8499999996</v>
      </c>
      <c r="D18" s="41">
        <f>SUM(D8:D17)</f>
        <v>35136.910000000003</v>
      </c>
      <c r="E18" s="41">
        <f>SUM(E8:E17)</f>
        <v>139157.82</v>
      </c>
      <c r="F18" s="41">
        <f>SUM(F8:F17)</f>
        <v>0</v>
      </c>
      <c r="G18" s="41">
        <f>SUM(G8:G17)</f>
        <v>610721.01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22861.4</v>
      </c>
      <c r="D21" s="95">
        <f>'DOE25'!G22</f>
        <v>0</v>
      </c>
      <c r="E21" s="95">
        <f>'DOE25'!H22</f>
        <v>132268.96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272203.92</v>
      </c>
      <c r="D23" s="95">
        <f>'DOE25'!G24</f>
        <v>1473.23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71906.960000000006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11307.3</v>
      </c>
      <c r="E29" s="95">
        <f>'DOE25'!H30</f>
        <v>6888.86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366972.28</v>
      </c>
      <c r="D31" s="41">
        <f>SUM(D21:D30)</f>
        <v>12780.529999999999</v>
      </c>
      <c r="E31" s="41">
        <f>SUM(E21:E30)</f>
        <v>139157.81999999998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324695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22356.38</v>
      </c>
      <c r="E47" s="95">
        <f>'DOE25'!H48</f>
        <v>0</v>
      </c>
      <c r="F47" s="95">
        <f>'DOE25'!I48</f>
        <v>0</v>
      </c>
      <c r="G47" s="95">
        <f>'DOE25'!J48</f>
        <v>610721.01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466793.29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1225436.28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2016924.57</v>
      </c>
      <c r="D50" s="41">
        <f>SUM(D34:D49)</f>
        <v>22356.38</v>
      </c>
      <c r="E50" s="41">
        <f>SUM(E34:E49)</f>
        <v>0</v>
      </c>
      <c r="F50" s="41">
        <f>SUM(F34:F49)</f>
        <v>0</v>
      </c>
      <c r="G50" s="41">
        <f>SUM(G34:G49)</f>
        <v>610721.01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2383896.85</v>
      </c>
      <c r="D51" s="41">
        <f>D50+D31</f>
        <v>35136.910000000003</v>
      </c>
      <c r="E51" s="41">
        <f>E50+E31</f>
        <v>139157.81999999998</v>
      </c>
      <c r="F51" s="41">
        <f>F50+F31</f>
        <v>0</v>
      </c>
      <c r="G51" s="41">
        <f>G50+G31</f>
        <v>610721.01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22526396.309999999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15050.5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36016.26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411.06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9295.42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419315.52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227418.33000000002</v>
      </c>
      <c r="D61" s="95">
        <f>SUM('DOE25'!G98:G110)</f>
        <v>0</v>
      </c>
      <c r="E61" s="95">
        <f>SUM('DOE25'!H98:H110)</f>
        <v>5251.55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278896.15000000002</v>
      </c>
      <c r="D62" s="130">
        <f>SUM(D57:D61)</f>
        <v>419315.52</v>
      </c>
      <c r="E62" s="130">
        <f>SUM(E57:E61)</f>
        <v>5251.55</v>
      </c>
      <c r="F62" s="130">
        <f>SUM(F57:F61)</f>
        <v>0</v>
      </c>
      <c r="G62" s="130">
        <f>SUM(G57:G61)</f>
        <v>9295.42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22805292.459999997</v>
      </c>
      <c r="D63" s="22">
        <f>D56+D62</f>
        <v>419315.52</v>
      </c>
      <c r="E63" s="22">
        <f>E56+E62</f>
        <v>5251.55</v>
      </c>
      <c r="F63" s="22">
        <f>F56+F62</f>
        <v>0</v>
      </c>
      <c r="G63" s="22">
        <f>G56+G62</f>
        <v>9295.42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3606700.69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4149940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13030.9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7769671.5899999999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330172.46000000002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278332.46999999997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8084.01</v>
      </c>
      <c r="E77" s="95">
        <f>SUM('DOE25'!H131:H135)</f>
        <v>20245.25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608504.92999999993</v>
      </c>
      <c r="D78" s="130">
        <f>SUM(D72:D77)</f>
        <v>8084.01</v>
      </c>
      <c r="E78" s="130">
        <f>SUM(E72:E77)</f>
        <v>20245.25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8378176.5199999996</v>
      </c>
      <c r="D81" s="130">
        <f>SUM(D79:D80)+D78+D70</f>
        <v>8084.01</v>
      </c>
      <c r="E81" s="130">
        <f>SUM(E79:E80)+E78+E70</f>
        <v>20245.25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193495.59</v>
      </c>
      <c r="D88" s="95">
        <f>SUM('DOE25'!G153:G161)</f>
        <v>200482.00999999998</v>
      </c>
      <c r="E88" s="95">
        <f>SUM('DOE25'!H153:H161)</f>
        <v>466112.07999999996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14293.63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193495.59</v>
      </c>
      <c r="D91" s="131">
        <f>SUM(D85:D90)</f>
        <v>200482.00999999998</v>
      </c>
      <c r="E91" s="131">
        <f>SUM(E85:E90)</f>
        <v>480405.70999999996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95500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95500</v>
      </c>
    </row>
    <row r="104" spans="1:7" ht="12.75" thickTop="1" thickBot="1" x14ac:dyDescent="0.25">
      <c r="A104" s="33" t="s">
        <v>759</v>
      </c>
      <c r="C104" s="86">
        <f>C63+C81+C91+C103</f>
        <v>31376964.569999997</v>
      </c>
      <c r="D104" s="86">
        <f>D63+D81+D91+D103</f>
        <v>627881.54</v>
      </c>
      <c r="E104" s="86">
        <f>E63+E81+E91+E103</f>
        <v>505902.50999999995</v>
      </c>
      <c r="F104" s="86">
        <f>F63+F81+F91+F103</f>
        <v>0</v>
      </c>
      <c r="G104" s="86">
        <f>G63+G81+G103</f>
        <v>104795.42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15071505.190000001</v>
      </c>
      <c r="D109" s="24" t="s">
        <v>286</v>
      </c>
      <c r="E109" s="95">
        <f>('DOE25'!L276)+('DOE25'!L295)+('DOE25'!L314)</f>
        <v>105577.96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6201136.3499999996</v>
      </c>
      <c r="D110" s="24" t="s">
        <v>286</v>
      </c>
      <c r="E110" s="95">
        <f>('DOE25'!L277)+('DOE25'!L296)+('DOE25'!L315)</f>
        <v>223578.53000000003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113659.02</v>
      </c>
      <c r="D112" s="24" t="s">
        <v>286</v>
      </c>
      <c r="E112" s="95">
        <f>+('DOE25'!L279)+('DOE25'!L298)+('DOE25'!L317)</f>
        <v>2663.85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21386300.559999999</v>
      </c>
      <c r="D115" s="86">
        <f>SUM(D109:D114)</f>
        <v>0</v>
      </c>
      <c r="E115" s="86">
        <f>SUM(E109:E114)</f>
        <v>331820.34000000003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2019619.15</v>
      </c>
      <c r="D118" s="24" t="s">
        <v>286</v>
      </c>
      <c r="E118" s="95">
        <f>+('DOE25'!L281)+('DOE25'!L300)+('DOE25'!L319)</f>
        <v>30518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552774.01</v>
      </c>
      <c r="D119" s="24" t="s">
        <v>286</v>
      </c>
      <c r="E119" s="95">
        <f>+('DOE25'!L282)+('DOE25'!L301)+('DOE25'!L320)</f>
        <v>94708.32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825181.76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1197440.6599999999</v>
      </c>
      <c r="D121" s="24" t="s">
        <v>286</v>
      </c>
      <c r="E121" s="95">
        <f>+('DOE25'!L284)+('DOE25'!L303)+('DOE25'!L322)</f>
        <v>20245.25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11729.27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1655477.47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1550514.1800000002</v>
      </c>
      <c r="D124" s="24" t="s">
        <v>286</v>
      </c>
      <c r="E124" s="95">
        <f>+('DOE25'!L287)+('DOE25'!L306)+('DOE25'!L325)</f>
        <v>313.7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336292.81</v>
      </c>
      <c r="D125" s="24" t="s">
        <v>286</v>
      </c>
      <c r="E125" s="95">
        <f>+('DOE25'!L288)+('DOE25'!L307)+('DOE25'!L326)</f>
        <v>16567.629999999997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616155.12000000011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8137300.04</v>
      </c>
      <c r="D128" s="86">
        <f>SUM(D118:D127)</f>
        <v>616155.12000000011</v>
      </c>
      <c r="E128" s="86">
        <f>SUM(E118:E127)</f>
        <v>174082.17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13164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1035000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283625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100170.34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4625.08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-9295.4199999999983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47657.31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1474946.3100000003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30998546.909999996</v>
      </c>
      <c r="D145" s="86">
        <f>(D115+D128+D144)</f>
        <v>616155.12000000011</v>
      </c>
      <c r="E145" s="86">
        <f>(E115+E128+E144)</f>
        <v>505902.51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05/02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30732213.059999999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6190000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6190000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1318625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1318625</v>
      </c>
    </row>
    <row r="159" spans="1:9" x14ac:dyDescent="0.2">
      <c r="A159" s="22" t="s">
        <v>35</v>
      </c>
      <c r="B159" s="137">
        <f>'DOE25'!F498</f>
        <v>5155000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5155000</v>
      </c>
    </row>
    <row r="160" spans="1:9" x14ac:dyDescent="0.2">
      <c r="A160" s="22" t="s">
        <v>36</v>
      </c>
      <c r="B160" s="137">
        <f>'DOE25'!F499</f>
        <v>927500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927500</v>
      </c>
    </row>
    <row r="161" spans="1:7" x14ac:dyDescent="0.2">
      <c r="A161" s="22" t="s">
        <v>37</v>
      </c>
      <c r="B161" s="137">
        <f>'DOE25'!F500</f>
        <v>6082500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6082500</v>
      </c>
    </row>
    <row r="162" spans="1:7" x14ac:dyDescent="0.2">
      <c r="A162" s="22" t="s">
        <v>38</v>
      </c>
      <c r="B162" s="137">
        <f>'DOE25'!F501</f>
        <v>1035000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1035000</v>
      </c>
    </row>
    <row r="163" spans="1:7" x14ac:dyDescent="0.2">
      <c r="A163" s="22" t="s">
        <v>39</v>
      </c>
      <c r="B163" s="137">
        <f>'DOE25'!F502</f>
        <v>231875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231875</v>
      </c>
    </row>
    <row r="164" spans="1:7" x14ac:dyDescent="0.2">
      <c r="A164" s="22" t="s">
        <v>246</v>
      </c>
      <c r="B164" s="137">
        <f>'DOE25'!F503</f>
        <v>1266875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1266875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Hooksett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15115</v>
      </c>
    </row>
    <row r="5" spans="1:4" x14ac:dyDescent="0.2">
      <c r="B5" t="s">
        <v>698</v>
      </c>
      <c r="C5" s="179">
        <f>IF('DOE25'!G665+'DOE25'!G670=0,0,ROUND('DOE25'!G672,0))</f>
        <v>13516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14487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15177083</v>
      </c>
      <c r="D10" s="182">
        <f>ROUND((C10/$C$28)*100,1)</f>
        <v>49.7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6424715</v>
      </c>
      <c r="D11" s="182">
        <f>ROUND((C11/$C$28)*100,1)</f>
        <v>21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116323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2050137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647482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1178042</v>
      </c>
      <c r="D17" s="182">
        <f t="shared" si="0"/>
        <v>3.9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1217686</v>
      </c>
      <c r="D18" s="182">
        <f t="shared" si="0"/>
        <v>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11729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1655477</v>
      </c>
      <c r="D20" s="182">
        <f t="shared" si="0"/>
        <v>5.4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1550828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283625</v>
      </c>
      <c r="D25" s="182">
        <f t="shared" si="0"/>
        <v>0.9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47657.31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196839.47999999998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30557623.789999999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13164</v>
      </c>
    </row>
    <row r="30" spans="1:4" x14ac:dyDescent="0.2">
      <c r="B30" s="187" t="s">
        <v>723</v>
      </c>
      <c r="C30" s="180">
        <f>SUM(C28:C29)</f>
        <v>30570787.789999999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1035000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22526396</v>
      </c>
      <c r="D35" s="182">
        <f t="shared" ref="D35:D40" si="1">ROUND((C35/$C$41)*100,1)</f>
        <v>70.2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293443.43000000343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7756641</v>
      </c>
      <c r="D37" s="182">
        <f t="shared" si="1"/>
        <v>24.2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649865</v>
      </c>
      <c r="D38" s="182">
        <f t="shared" si="1"/>
        <v>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874383</v>
      </c>
      <c r="D39" s="182">
        <f t="shared" si="1"/>
        <v>2.7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32100728.430000003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Hooksett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2018-09-18T16:48:38Z</cp:lastPrinted>
  <dcterms:created xsi:type="dcterms:W3CDTF">1997-12-04T19:04:30Z</dcterms:created>
  <dcterms:modified xsi:type="dcterms:W3CDTF">2018-11-13T19:58:17Z</dcterms:modified>
</cp:coreProperties>
</file>