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19200" windowHeight="705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F48" i="1" l="1"/>
  <c r="H244" i="1" l="1"/>
  <c r="H226" i="1"/>
  <c r="H208" i="1"/>
  <c r="I528" i="1"/>
  <c r="I527" i="1"/>
  <c r="I526" i="1"/>
  <c r="I591" i="1" l="1"/>
  <c r="J591" i="1"/>
  <c r="H591" i="1"/>
  <c r="K523" i="1" l="1"/>
  <c r="J523" i="1"/>
  <c r="I523" i="1"/>
  <c r="H523" i="1"/>
  <c r="G523" i="1"/>
  <c r="F523" i="1"/>
  <c r="K522" i="1"/>
  <c r="J522" i="1"/>
  <c r="I522" i="1"/>
  <c r="H522" i="1"/>
  <c r="G522" i="1"/>
  <c r="F522" i="1"/>
  <c r="K521" i="1"/>
  <c r="J521" i="1"/>
  <c r="I521" i="1"/>
  <c r="H521" i="1"/>
  <c r="G521" i="1"/>
  <c r="F521" i="1"/>
  <c r="J595" i="1" l="1"/>
  <c r="I595" i="1"/>
  <c r="H595" i="1"/>
  <c r="J295" i="1"/>
  <c r="J314" i="1"/>
  <c r="I314" i="1"/>
  <c r="H296" i="1"/>
  <c r="H295" i="1"/>
  <c r="I207" i="1" l="1"/>
  <c r="I282" i="1" l="1"/>
  <c r="I320" i="1"/>
  <c r="I301" i="1"/>
  <c r="I319" i="1"/>
  <c r="I300" i="1"/>
  <c r="I281" i="1"/>
  <c r="I335" i="1"/>
  <c r="G276" i="1"/>
  <c r="F276" i="1"/>
  <c r="H582" i="1" l="1"/>
  <c r="F582" i="1"/>
  <c r="H234" i="1"/>
  <c r="H198" i="1"/>
  <c r="G562" i="1"/>
  <c r="J276" i="1"/>
  <c r="J277" i="1"/>
  <c r="J604" i="1"/>
  <c r="I604" i="1"/>
  <c r="H604" i="1"/>
  <c r="G368" i="1"/>
  <c r="G367" i="1"/>
  <c r="F367" i="1"/>
  <c r="F368" i="1"/>
  <c r="I360" i="1"/>
  <c r="H360" i="1"/>
  <c r="H359" i="1"/>
  <c r="H358" i="1"/>
  <c r="J468" i="1"/>
  <c r="F665" i="1" l="1"/>
  <c r="H207" i="1"/>
  <c r="F207" i="1"/>
  <c r="F243" i="1"/>
  <c r="H225" i="1"/>
  <c r="H243" i="1"/>
  <c r="I243" i="1"/>
  <c r="G208" i="1"/>
  <c r="F234" i="1"/>
  <c r="F208" i="1"/>
  <c r="F203" i="1"/>
  <c r="G197" i="1"/>
  <c r="H216" i="1" l="1"/>
  <c r="J243" i="1"/>
  <c r="G243" i="1"/>
  <c r="J225" i="1"/>
  <c r="I225" i="1"/>
  <c r="G225" i="1"/>
  <c r="F225" i="1"/>
  <c r="J207" i="1"/>
  <c r="G207" i="1"/>
  <c r="K266" i="1"/>
  <c r="K264" i="1"/>
  <c r="K239" i="1" l="1"/>
  <c r="J239" i="1"/>
  <c r="I239" i="1"/>
  <c r="H239" i="1"/>
  <c r="G239" i="1"/>
  <c r="F239" i="1"/>
  <c r="K221" i="1"/>
  <c r="J221" i="1"/>
  <c r="I221" i="1"/>
  <c r="H221" i="1"/>
  <c r="G221" i="1"/>
  <c r="F221" i="1"/>
  <c r="K203" i="1"/>
  <c r="J203" i="1"/>
  <c r="I203" i="1"/>
  <c r="H203" i="1"/>
  <c r="G203" i="1"/>
  <c r="J238" i="1"/>
  <c r="I238" i="1"/>
  <c r="H238" i="1"/>
  <c r="G238" i="1"/>
  <c r="F238" i="1"/>
  <c r="J220" i="1"/>
  <c r="I220" i="1"/>
  <c r="H220" i="1"/>
  <c r="G220" i="1"/>
  <c r="F220" i="1"/>
  <c r="J202" i="1"/>
  <c r="I202" i="1"/>
  <c r="H202" i="1"/>
  <c r="G202" i="1"/>
  <c r="F202" i="1"/>
  <c r="I234" i="1"/>
  <c r="G234" i="1"/>
  <c r="J216" i="1"/>
  <c r="I216" i="1"/>
  <c r="G216" i="1"/>
  <c r="F216" i="1"/>
  <c r="J198" i="1"/>
  <c r="I198" i="1"/>
  <c r="G198" i="1"/>
  <c r="F198" i="1"/>
  <c r="K233" i="1" l="1"/>
  <c r="J233" i="1"/>
  <c r="I233" i="1"/>
  <c r="H233" i="1"/>
  <c r="G233" i="1"/>
  <c r="F233" i="1"/>
  <c r="K215" i="1"/>
  <c r="J215" i="1"/>
  <c r="I215" i="1"/>
  <c r="H215" i="1"/>
  <c r="G215" i="1"/>
  <c r="F215" i="1"/>
  <c r="K197" i="1"/>
  <c r="J197" i="1"/>
  <c r="I197" i="1"/>
  <c r="H197" i="1"/>
  <c r="F197" i="1"/>
  <c r="H102" i="1" l="1"/>
  <c r="H110" i="1"/>
  <c r="H514" i="1" l="1"/>
  <c r="I516" i="1"/>
  <c r="K205" i="1" l="1"/>
  <c r="I205" i="1"/>
  <c r="H205" i="1"/>
  <c r="G205" i="1"/>
  <c r="F205" i="1"/>
  <c r="G200" i="1"/>
  <c r="F200" i="1"/>
  <c r="H135" i="1"/>
  <c r="H159" i="1"/>
  <c r="H155" i="1"/>
  <c r="H154" i="1"/>
  <c r="G97" i="1"/>
  <c r="G158" i="1"/>
  <c r="G132" i="1"/>
  <c r="F110" i="1"/>
  <c r="F98" i="1"/>
  <c r="F181" i="1"/>
  <c r="F63" i="1"/>
  <c r="G459" i="1"/>
  <c r="F459" i="1"/>
  <c r="G440" i="1"/>
  <c r="I48" i="1" l="1"/>
  <c r="H24" i="1"/>
  <c r="H22" i="1"/>
  <c r="F9" i="1"/>
  <c r="F36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32" i="10" s="1"/>
  <c r="L261" i="1"/>
  <c r="C25" i="10" s="1"/>
  <c r="L341" i="1"/>
  <c r="L342" i="1"/>
  <c r="L255" i="1"/>
  <c r="L336" i="1"/>
  <c r="C29" i="10" s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C57" i="2" s="1"/>
  <c r="F94" i="1"/>
  <c r="F111" i="1"/>
  <c r="G111" i="1"/>
  <c r="H79" i="1"/>
  <c r="H112" i="1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3" i="10"/>
  <c r="L250" i="1"/>
  <c r="L332" i="1"/>
  <c r="L254" i="1"/>
  <c r="L268" i="1"/>
  <c r="L269" i="1"/>
  <c r="L349" i="1"/>
  <c r="C26" i="10" s="1"/>
  <c r="L350" i="1"/>
  <c r="I665" i="1"/>
  <c r="I670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2" i="2"/>
  <c r="E112" i="2"/>
  <c r="C113" i="2"/>
  <c r="E113" i="2"/>
  <c r="C114" i="2"/>
  <c r="D115" i="2"/>
  <c r="F115" i="2"/>
  <c r="G115" i="2"/>
  <c r="E119" i="2"/>
  <c r="E120" i="2"/>
  <c r="E121" i="2"/>
  <c r="E123" i="2"/>
  <c r="E124" i="2"/>
  <c r="C125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H408" i="1" s="1"/>
  <c r="H644" i="1" s="1"/>
  <c r="I407" i="1"/>
  <c r="G408" i="1"/>
  <c r="H645" i="1" s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G461" i="1" s="1"/>
  <c r="H640" i="1" s="1"/>
  <c r="H460" i="1"/>
  <c r="I460" i="1"/>
  <c r="F461" i="1"/>
  <c r="H461" i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G545" i="1" s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60" i="1" s="1"/>
  <c r="L559" i="1"/>
  <c r="F560" i="1"/>
  <c r="G560" i="1"/>
  <c r="H560" i="1"/>
  <c r="I560" i="1"/>
  <c r="J560" i="1"/>
  <c r="K560" i="1"/>
  <c r="K571" i="1" s="1"/>
  <c r="L562" i="1"/>
  <c r="L565" i="1" s="1"/>
  <c r="L563" i="1"/>
  <c r="L564" i="1"/>
  <c r="F565" i="1"/>
  <c r="F571" i="1" s="1"/>
  <c r="G565" i="1"/>
  <c r="H565" i="1"/>
  <c r="H571" i="1" s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1" i="1"/>
  <c r="J641" i="1" s="1"/>
  <c r="H641" i="1"/>
  <c r="G643" i="1"/>
  <c r="G644" i="1"/>
  <c r="G645" i="1"/>
  <c r="G650" i="1"/>
  <c r="G651" i="1"/>
  <c r="G652" i="1"/>
  <c r="H652" i="1"/>
  <c r="G653" i="1"/>
  <c r="H653" i="1"/>
  <c r="G654" i="1"/>
  <c r="H654" i="1"/>
  <c r="H655" i="1"/>
  <c r="J655" i="1" s="1"/>
  <c r="F192" i="1"/>
  <c r="A31" i="12"/>
  <c r="D18" i="2"/>
  <c r="F78" i="2"/>
  <c r="D50" i="2"/>
  <c r="G156" i="2"/>
  <c r="D91" i="2"/>
  <c r="G62" i="2"/>
  <c r="D19" i="13"/>
  <c r="C19" i="13" s="1"/>
  <c r="E78" i="2"/>
  <c r="E81" i="2" s="1"/>
  <c r="J571" i="1"/>
  <c r="I169" i="1"/>
  <c r="G338" i="1"/>
  <c r="G352" i="1" s="1"/>
  <c r="J140" i="1"/>
  <c r="G22" i="2"/>
  <c r="H140" i="1"/>
  <c r="L401" i="1"/>
  <c r="C139" i="2" s="1"/>
  <c r="H192" i="1"/>
  <c r="L570" i="1"/>
  <c r="I571" i="1"/>
  <c r="G36" i="2"/>
  <c r="G662" i="1" l="1"/>
  <c r="J545" i="1"/>
  <c r="K551" i="1"/>
  <c r="G552" i="1"/>
  <c r="L544" i="1"/>
  <c r="H552" i="1"/>
  <c r="L534" i="1"/>
  <c r="I552" i="1"/>
  <c r="K550" i="1"/>
  <c r="I545" i="1"/>
  <c r="H545" i="1"/>
  <c r="L524" i="1"/>
  <c r="J651" i="1"/>
  <c r="K598" i="1"/>
  <c r="G647" i="1" s="1"/>
  <c r="L328" i="1"/>
  <c r="H662" i="1"/>
  <c r="H338" i="1"/>
  <c r="H352" i="1" s="1"/>
  <c r="E122" i="2"/>
  <c r="L309" i="1"/>
  <c r="E118" i="2"/>
  <c r="L290" i="1"/>
  <c r="I369" i="1"/>
  <c r="H634" i="1" s="1"/>
  <c r="J634" i="1" s="1"/>
  <c r="L362" i="1"/>
  <c r="G661" i="1"/>
  <c r="F408" i="1"/>
  <c r="H643" i="1" s="1"/>
  <c r="J645" i="1"/>
  <c r="L393" i="1"/>
  <c r="C138" i="2" s="1"/>
  <c r="J643" i="1"/>
  <c r="E16" i="13"/>
  <c r="C132" i="2"/>
  <c r="L270" i="1"/>
  <c r="H25" i="13"/>
  <c r="C25" i="13" s="1"/>
  <c r="H33" i="13"/>
  <c r="C17" i="10"/>
  <c r="C11" i="10"/>
  <c r="A13" i="12"/>
  <c r="C12" i="10"/>
  <c r="D14" i="13"/>
  <c r="C14" i="13" s="1"/>
  <c r="C119" i="2"/>
  <c r="C118" i="2"/>
  <c r="L247" i="1"/>
  <c r="D5" i="13"/>
  <c r="C5" i="13" s="1"/>
  <c r="C21" i="10"/>
  <c r="C123" i="2"/>
  <c r="G257" i="1"/>
  <c r="G271" i="1" s="1"/>
  <c r="C121" i="2"/>
  <c r="D7" i="13"/>
  <c r="C7" i="13" s="1"/>
  <c r="L229" i="1"/>
  <c r="C16" i="10"/>
  <c r="F257" i="1"/>
  <c r="F271" i="1" s="1"/>
  <c r="C110" i="2"/>
  <c r="J257" i="1"/>
  <c r="J271" i="1" s="1"/>
  <c r="I257" i="1"/>
  <c r="I271" i="1" s="1"/>
  <c r="C20" i="10"/>
  <c r="H257" i="1"/>
  <c r="H271" i="1" s="1"/>
  <c r="L211" i="1"/>
  <c r="C18" i="10"/>
  <c r="K257" i="1"/>
  <c r="K271" i="1" s="1"/>
  <c r="F476" i="1"/>
  <c r="H622" i="1" s="1"/>
  <c r="J622" i="1" s="1"/>
  <c r="I476" i="1"/>
  <c r="H625" i="1" s="1"/>
  <c r="H476" i="1"/>
  <c r="H624" i="1" s="1"/>
  <c r="J624" i="1" s="1"/>
  <c r="G476" i="1"/>
  <c r="H623" i="1" s="1"/>
  <c r="J623" i="1" s="1"/>
  <c r="G161" i="2"/>
  <c r="G157" i="2"/>
  <c r="J644" i="1"/>
  <c r="C78" i="2"/>
  <c r="F112" i="1"/>
  <c r="J640" i="1"/>
  <c r="J639" i="1"/>
  <c r="I461" i="1"/>
  <c r="H642" i="1" s="1"/>
  <c r="I446" i="1"/>
  <c r="G642" i="1" s="1"/>
  <c r="H52" i="1"/>
  <c r="H619" i="1" s="1"/>
  <c r="E31" i="2"/>
  <c r="D31" i="2"/>
  <c r="J617" i="1"/>
  <c r="C18" i="2"/>
  <c r="F22" i="13"/>
  <c r="C22" i="13" s="1"/>
  <c r="L539" i="1"/>
  <c r="K503" i="1"/>
  <c r="L382" i="1"/>
  <c r="G636" i="1" s="1"/>
  <c r="J636" i="1" s="1"/>
  <c r="K352" i="1"/>
  <c r="E109" i="2"/>
  <c r="E115" i="2" s="1"/>
  <c r="G81" i="2"/>
  <c r="C62" i="2"/>
  <c r="E57" i="2"/>
  <c r="E62" i="2" s="1"/>
  <c r="E63" i="2" s="1"/>
  <c r="F661" i="1"/>
  <c r="I661" i="1" s="1"/>
  <c r="C19" i="10"/>
  <c r="C15" i="10"/>
  <c r="C10" i="10"/>
  <c r="G112" i="1"/>
  <c r="C36" i="10" s="1"/>
  <c r="C81" i="2"/>
  <c r="C16" i="13"/>
  <c r="D12" i="13"/>
  <c r="C12" i="13" s="1"/>
  <c r="K549" i="1"/>
  <c r="E13" i="13"/>
  <c r="C13" i="13" s="1"/>
  <c r="D6" i="13"/>
  <c r="C6" i="13" s="1"/>
  <c r="D15" i="13"/>
  <c r="C15" i="13" s="1"/>
  <c r="G649" i="1"/>
  <c r="J649" i="1" s="1"/>
  <c r="J338" i="1"/>
  <c r="J352" i="1" s="1"/>
  <c r="E130" i="2"/>
  <c r="D127" i="2"/>
  <c r="D128" i="2" s="1"/>
  <c r="D145" i="2" s="1"/>
  <c r="C124" i="2"/>
  <c r="C120" i="2"/>
  <c r="C111" i="2"/>
  <c r="C56" i="2"/>
  <c r="F662" i="1"/>
  <c r="D29" i="13"/>
  <c r="C29" i="13" s="1"/>
  <c r="E8" i="13"/>
  <c r="C8" i="13" s="1"/>
  <c r="F81" i="2"/>
  <c r="L351" i="1"/>
  <c r="H647" i="1"/>
  <c r="G625" i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G63" i="2"/>
  <c r="G104" i="2" s="1"/>
  <c r="J618" i="1"/>
  <c r="G42" i="2"/>
  <c r="G50" i="2" s="1"/>
  <c r="G51" i="2" s="1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A22" i="12"/>
  <c r="J652" i="1"/>
  <c r="J642" i="1"/>
  <c r="G571" i="1"/>
  <c r="I434" i="1"/>
  <c r="G434" i="1"/>
  <c r="I663" i="1"/>
  <c r="C27" i="10"/>
  <c r="G635" i="1"/>
  <c r="J635" i="1" s="1"/>
  <c r="I662" i="1" l="1"/>
  <c r="K552" i="1"/>
  <c r="J647" i="1"/>
  <c r="H660" i="1"/>
  <c r="H664" i="1" s="1"/>
  <c r="H672" i="1" s="1"/>
  <c r="C6" i="10" s="1"/>
  <c r="J625" i="1"/>
  <c r="E128" i="2"/>
  <c r="D31" i="13"/>
  <c r="C31" i="13" s="1"/>
  <c r="L338" i="1"/>
  <c r="L352" i="1" s="1"/>
  <c r="G633" i="1" s="1"/>
  <c r="J633" i="1" s="1"/>
  <c r="F660" i="1"/>
  <c r="F664" i="1" s="1"/>
  <c r="G660" i="1"/>
  <c r="G664" i="1" s="1"/>
  <c r="G667" i="1" s="1"/>
  <c r="E145" i="2"/>
  <c r="C141" i="2"/>
  <c r="C144" i="2" s="1"/>
  <c r="H648" i="1"/>
  <c r="J648" i="1" s="1"/>
  <c r="C115" i="2"/>
  <c r="C128" i="2"/>
  <c r="L257" i="1"/>
  <c r="L271" i="1" s="1"/>
  <c r="G632" i="1" s="1"/>
  <c r="J632" i="1" s="1"/>
  <c r="I193" i="1"/>
  <c r="G630" i="1" s="1"/>
  <c r="J630" i="1" s="1"/>
  <c r="F104" i="2"/>
  <c r="E104" i="2"/>
  <c r="F193" i="1"/>
  <c r="G627" i="1" s="1"/>
  <c r="J627" i="1" s="1"/>
  <c r="F51" i="2"/>
  <c r="L408" i="1"/>
  <c r="L545" i="1"/>
  <c r="C63" i="2"/>
  <c r="C104" i="2" s="1"/>
  <c r="C28" i="10"/>
  <c r="D23" i="10" s="1"/>
  <c r="E33" i="13"/>
  <c r="D35" i="13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67" i="1" l="1"/>
  <c r="D33" i="13"/>
  <c r="D36" i="13" s="1"/>
  <c r="G672" i="1"/>
  <c r="C5" i="10" s="1"/>
  <c r="I660" i="1"/>
  <c r="I664" i="1" s="1"/>
  <c r="I672" i="1" s="1"/>
  <c r="C7" i="10" s="1"/>
  <c r="C145" i="2"/>
  <c r="D25" i="10"/>
  <c r="D19" i="10"/>
  <c r="D15" i="10"/>
  <c r="D20" i="10"/>
  <c r="D11" i="10"/>
  <c r="F672" i="1"/>
  <c r="C4" i="10" s="1"/>
  <c r="F667" i="1"/>
  <c r="D21" i="10"/>
  <c r="D18" i="10"/>
  <c r="D13" i="10"/>
  <c r="D22" i="10"/>
  <c r="D27" i="10"/>
  <c r="D17" i="10"/>
  <c r="D12" i="10"/>
  <c r="D24" i="10"/>
  <c r="D10" i="10"/>
  <c r="D26" i="10"/>
  <c r="C30" i="10"/>
  <c r="D16" i="10"/>
  <c r="G637" i="1"/>
  <c r="J637" i="1" s="1"/>
  <c r="H646" i="1"/>
  <c r="J646" i="1" s="1"/>
  <c r="C41" i="10"/>
  <c r="D38" i="10" s="1"/>
  <c r="I667" i="1" l="1"/>
  <c r="D28" i="10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<sst xmlns="http://schemas.openxmlformats.org/spreadsheetml/2006/main" count="3960" uniqueCount="916">
  <si>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</si>
  <si>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</si>
  <si>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</si>
  <si>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</si>
  <si>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</si>
  <si>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</si>
  <si>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</si>
  <si>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</si>
  <si>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</si>
  <si>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</si>
  <si>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</si>
  <si>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</si>
  <si>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</si>
  <si>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</si>
  <si>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</si>
  <si>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</si>
  <si>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</si>
  <si>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</si>
  <si>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</si>
  <si>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</si>
  <si>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</si>
  <si>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</si>
  <si>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</si>
  <si>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</si>
  <si>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</si>
  <si>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</si>
  <si>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</si>
  <si>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</si>
  <si>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</si>
  <si>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</si>
  <si>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</si>
  <si>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</si>
  <si>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</si>
  <si>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</si>
  <si>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</si>
  <si>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</si>
  <si>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</si>
  <si>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</si>
  <si>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</si>
  <si>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</si>
  <si>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</si>
  <si>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</si>
  <si>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</si>
  <si>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</si>
  <si>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</si>
  <si>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</si>
  <si>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</si>
  <si>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</si>
  <si>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</si>
  <si>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</si>
  <si>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</si>
  <si>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</si>
  <si>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</si>
  <si>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</si>
  <si>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</si>
  <si>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</si>
  <si>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</si>
  <si>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</si>
  <si>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</si>
  <si>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</si>
  <si>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</si>
  <si>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</si>
  <si>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</si>
  <si>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</si>
  <si>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</si>
  <si>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</si>
  <si>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</si>
  <si>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</si>
  <si>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</si>
  <si>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</si>
  <si>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</si>
  <si>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</si>
  <si>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</si>
  <si>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</si>
  <si>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</si>
  <si>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</si>
  <si>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</si>
  <si>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</si>
  <si>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</si>
  <si>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</si>
  <si>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</si>
  <si>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</si>
  <si>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</si>
  <si>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</si>
  <si>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</si>
  <si>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</si>
  <si>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</si>
  <si>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</si>
  <si>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</si>
  <si>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</si>
  <si>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</si>
  <si>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</si>
  <si>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</si>
  <si>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</si>
  <si>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</si>
  <si>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</si>
  <si>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</si>
  <si>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</si>
  <si>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</si>
  <si>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</si>
  <si>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</si>
  <si>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</si>
  <si>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</si>
  <si>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</si>
  <si>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</si>
  <si>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</si>
  <si>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</si>
  <si>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</si>
  <si>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</si>
  <si>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</si>
  <si>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</si>
  <si>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</si>
  <si>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</si>
  <si>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</si>
  <si>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</si>
  <si>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</si>
  <si>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</si>
  <si>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</si>
  <si>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</si>
  <si>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</si>
  <si>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</si>
  <si>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</si>
  <si>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</si>
  <si>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</si>
  <si>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</si>
  <si>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</si>
  <si>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</si>
  <si>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</si>
  <si>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</si>
  <si>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</si>
  <si>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</si>
  <si>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</si>
  <si>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</si>
  <si>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</si>
  <si>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</si>
  <si>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</si>
  <si>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</si>
  <si>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</si>
  <si>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</si>
  <si>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</si>
  <si>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</si>
  <si>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</si>
  <si>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</si>
  <si>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</si>
  <si>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</si>
  <si>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</si>
  <si>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</si>
  <si>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</si>
  <si>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</si>
  <si>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</si>
  <si>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</si>
  <si>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</si>
  <si>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</si>
  <si>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</si>
  <si>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</si>
  <si>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</si>
  <si>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</si>
  <si>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</si>
  <si>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</si>
  <si>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</si>
  <si>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</si>
  <si>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</si>
  <si>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</si>
  <si>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</si>
  <si>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</si>
  <si>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</si>
  <si>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</si>
  <si>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</si>
  <si>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</si>
  <si>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</si>
  <si>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</si>
  <si>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</si>
  <si>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</si>
  <si>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</si>
  <si>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</si>
  <si>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</si>
  <si>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</si>
  <si>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</si>
  <si>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</si>
  <si>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</si>
  <si>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</si>
  <si>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</si>
  <si>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</si>
  <si>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</si>
  <si>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</si>
  <si>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</si>
  <si>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</si>
  <si>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</si>
  <si>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</si>
  <si>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</si>
  <si>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</si>
  <si>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</si>
  <si>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</si>
  <si>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</si>
  <si>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</si>
  <si>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</si>
  <si>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</si>
  <si>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</si>
  <si>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</si>
  <si>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</si>
  <si>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</si>
  <si>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</si>
  <si>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</si>
  <si>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</si>
  <si>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</si>
  <si>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</si>
  <si>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</si>
  <si>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</si>
  <si>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</si>
  <si>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</si>
  <si>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</si>
  <si>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</si>
  <si>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</si>
  <si>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</si>
  <si>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</si>
  <si>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</si>
  <si>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</si>
  <si>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</si>
  <si>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</si>
  <si>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</si>
  <si>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</si>
  <si>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</si>
  <si>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</si>
  <si>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</si>
  <si>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</si>
  <si>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</si>
  <si>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</si>
  <si>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</si>
  <si>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</si>
  <si>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</si>
  <si>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</si>
  <si>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</si>
  <si>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</si>
  <si>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</si>
  <si>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</si>
  <si>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</si>
  <si>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</si>
  <si>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</si>
  <si>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</si>
  <si>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</si>
  <si>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</si>
  <si>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</si>
  <si>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</si>
  <si>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</si>
  <si>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</si>
  <si>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</si>
  <si>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</si>
  <si>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</si>
  <si>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</si>
  <si>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</si>
  <si>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</si>
  <si>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</si>
  <si>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</si>
  <si>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</si>
  <si>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</si>
  <si>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</si>
  <si>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</si>
  <si>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</si>
  <si>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</si>
  <si>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</si>
  <si>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</si>
  <si>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</si>
  <si>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</si>
  <si>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</si>
  <si>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</si>
  <si>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</si>
  <si>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</si>
  <si>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</si>
  <si>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</si>
  <si>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</si>
  <si>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</si>
  <si>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</si>
  <si>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</si>
  <si>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</si>
  <si>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</si>
  <si>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</si>
  <si>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</si>
  <si>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</si>
  <si>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</si>
  <si>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</si>
  <si>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</si>
  <si>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</si>
  <si>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</si>
  <si>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</si>
  <si>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</si>
  <si>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</si>
  <si>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</si>
  <si>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</si>
  <si>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</si>
  <si>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</si>
  <si>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</si>
  <si>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</si>
  <si>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</si>
  <si>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</si>
  <si>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</si>
  <si>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</si>
  <si>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</si>
  <si>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</si>
  <si>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</si>
  <si>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</si>
  <si>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</si>
  <si>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</si>
  <si>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</si>
  <si>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</si>
  <si>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</si>
  <si>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</si>
  <si>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</si>
  <si>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</si>
  <si>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</si>
  <si>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</si>
  <si>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</si>
  <si>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</si>
  <si>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</si>
  <si>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</si>
  <si>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</si>
  <si>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</si>
  <si>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</si>
  <si>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</si>
  <si>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</si>
  <si>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</si>
  <si>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</si>
  <si>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</si>
  <si>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</si>
  <si>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</si>
  <si>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</si>
  <si>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</si>
  <si>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</si>
  <si>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</si>
  <si>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</si>
  <si>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</si>
  <si>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</si>
  <si>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</si>
  <si>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</si>
  <si>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</si>
  <si>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</si>
  <si>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</si>
  <si>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</si>
  <si>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</si>
  <si>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</si>
  <si>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</si>
  <si>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</si>
  <si>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</si>
  <si>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</si>
  <si>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</si>
  <si>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</si>
  <si>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</si>
  <si>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</si>
  <si>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</si>
  <si>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</si>
  <si>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</si>
  <si>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</si>
  <si>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</si>
  <si>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</si>
  <si>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</si>
  <si>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</si>
  <si>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</si>
  <si>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</si>
  <si>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</si>
  <si>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</si>
  <si>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</si>
  <si>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</si>
  <si>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</si>
  <si>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</si>
  <si>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</si>
  <si>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</si>
  <si>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</si>
  <si>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</si>
  <si>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</si>
  <si>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</si>
  <si>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</si>
  <si>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</si>
  <si>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</si>
  <si>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</si>
  <si>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</si>
  <si>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</si>
  <si>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</si>
  <si>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</si>
  <si>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</si>
  <si>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</si>
  <si>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</si>
  <si>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</si>
  <si>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</si>
  <si>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</si>
  <si>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</si>
  <si>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</si>
  <si>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</si>
  <si>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</si>
  <si>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</si>
  <si>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</si>
  <si>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</si>
  <si>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</si>
  <si>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</si>
  <si>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</si>
  <si>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</si>
  <si>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</si>
  <si>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</si>
  <si>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</si>
  <si>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</si>
  <si>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</si>
  <si>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</si>
  <si>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</si>
  <si>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</si>
  <si>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</si>
  <si>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</si>
  <si>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</si>
  <si>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</si>
  <si>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</si>
  <si>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</si>
  <si>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</si>
  <si>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</si>
  <si>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</si>
  <si>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</si>
  <si>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</si>
  <si>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</si>
  <si>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</si>
  <si>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</si>
  <si>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</si>
  <si>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</si>
  <si>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</si>
  <si>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</si>
  <si>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</si>
  <si>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</si>
  <si>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</si>
  <si>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</si>
  <si>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</si>
  <si>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</si>
  <si>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</si>
  <si>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</si>
  <si>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</si>
  <si>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</si>
  <si>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</si>
  <si>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</si>
  <si>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</si>
  <si>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</si>
  <si>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</si>
  <si>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</si>
  <si>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</si>
  <si>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</si>
  <si>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</si>
  <si>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</si>
  <si>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</si>
  <si>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</si>
  <si>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</si>
  <si>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</si>
  <si>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</si>
  <si>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</si>
  <si>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</si>
  <si>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</si>
  <si>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</si>
  <si>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</si>
  <si>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</si>
  <si>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</si>
  <si>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</si>
  <si>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</si>
  <si>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</si>
  <si>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</si>
  <si>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</si>
  <si>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</si>
  <si>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</si>
  <si>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</si>
  <si>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</si>
  <si>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</si>
  <si>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</si>
  <si>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</si>
  <si>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</si>
  <si>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</si>
  <si>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</si>
  <si>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</si>
  <si>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</si>
  <si>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</si>
  <si>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</si>
  <si>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</si>
  <si>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</si>
  <si>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</si>
  <si>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</si>
  <si>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</si>
  <si>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</si>
  <si>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</si>
  <si>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</si>
  <si>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</si>
  <si>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</si>
  <si>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</si>
  <si>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</si>
  <si>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</si>
  <si>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</si>
  <si>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</si>
  <si>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</si>
  <si>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</si>
  <si>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</si>
  <si>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</si>
  <si>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</si>
  <si>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</si>
  <si>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</si>
  <si>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</si>
  <si>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</si>
  <si>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</si>
  <si>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</si>
  <si>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</si>
  <si>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</si>
  <si>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</si>
  <si>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</si>
  <si>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</si>
  <si>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</si>
  <si>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</si>
  <si>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</si>
  <si>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</si>
  <si>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</si>
  <si>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</si>
  <si>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</si>
  <si>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</si>
  <si>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</si>
  <si>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</si>
  <si>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</si>
  <si>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</si>
  <si>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</si>
  <si>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</si>
  <si>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</si>
  <si>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</si>
  <si>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</si>
  <si>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</si>
  <si>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</si>
  <si>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</si>
  <si>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</si>
  <si>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</si>
  <si>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</si>
  <si>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</si>
  <si>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</si>
  <si>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</si>
  <si>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</si>
  <si>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</si>
  <si>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</si>
  <si>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</si>
  <si>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</si>
  <si>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</si>
  <si>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</si>
  <si>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</si>
  <si>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</si>
  <si>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</si>
  <si>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</si>
  <si>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</si>
  <si>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</si>
  <si>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</si>
  <si>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</si>
  <si>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</si>
  <si>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</si>
  <si>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</si>
  <si>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</si>
  <si>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</si>
  <si>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</si>
  <si>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</si>
  <si>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</si>
  <si>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</si>
  <si>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</si>
  <si>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</si>
  <si>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</si>
  <si>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</si>
  <si>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</si>
  <si>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</si>
  <si>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</si>
  <si>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</si>
  <si>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</si>
  <si>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</si>
  <si>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</si>
  <si>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</si>
  <si>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</si>
  <si>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</si>
  <si>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</si>
  <si>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</si>
  <si>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</si>
  <si>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</si>
  <si>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</si>
  <si>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</si>
  <si>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</si>
  <si>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</si>
  <si>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</si>
  <si>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</si>
  <si>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</si>
  <si>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</si>
  <si>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</si>
  <si>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</si>
  <si>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</si>
  <si>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</si>
  <si>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</si>
  <si>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</si>
  <si>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</si>
  <si>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</si>
  <si>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</si>
  <si>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</si>
  <si>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</si>
  <si>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</si>
  <si>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</si>
  <si>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</si>
  <si>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</si>
  <si>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</si>
  <si>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</si>
  <si>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</si>
  <si>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</si>
  <si>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</si>
  <si>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</si>
  <si>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</si>
  <si>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</si>
  <si>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</si>
  <si>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</si>
  <si>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</si>
  <si>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</si>
  <si>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</si>
  <si>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</si>
  <si>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</si>
  <si>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</si>
  <si>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</si>
  <si>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</si>
  <si>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</si>
  <si>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</si>
  <si>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</si>
  <si>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</si>
  <si>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</si>
  <si>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</si>
  <si>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</si>
  <si>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</si>
  <si>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</si>
  <si>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</si>
  <si>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</si>
  <si>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</si>
  <si>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</si>
  <si>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</si>
  <si>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</si>
  <si>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</si>
  <si>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</si>
  <si>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</si>
  <si>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</si>
  <si>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</si>
  <si>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</si>
  <si>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</si>
  <si>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</si>
  <si>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</si>
  <si>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</si>
  <si>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</si>
  <si>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</si>
  <si>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</si>
  <si>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</si>
  <si>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</si>
  <si>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</si>
  <si>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</si>
  <si>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</si>
  <si>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</si>
  <si>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</si>
  <si>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</si>
  <si>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</si>
  <si>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</si>
  <si>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</si>
  <si>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</si>
  <si>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</si>
  <si>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</si>
  <si>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</si>
  <si>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</si>
  <si>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</si>
  <si>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</si>
  <si>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</si>
  <si>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</si>
  <si>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</si>
  <si>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</si>
  <si>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</si>
  <si>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</si>
  <si>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</si>
  <si>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</si>
  <si>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</si>
  <si>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</si>
  <si>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</si>
  <si>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</si>
  <si>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</si>
  <si>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</si>
  <si>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</si>
  <si>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</si>
  <si>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</si>
  <si>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</si>
  <si>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</si>
  <si>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</si>
  <si>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</si>
  <si>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</si>
  <si>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</si>
  <si>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</si>
  <si>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</si>
  <si>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</si>
  <si>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</si>
  <si>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</si>
  <si>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</si>
  <si>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</si>
  <si>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</si>
  <si>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</si>
  <si>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</si>
  <si>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</si>
  <si>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</si>
  <si>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</si>
  <si>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</si>
  <si>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</si>
  <si>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</si>
  <si>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</si>
  <si>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</si>
  <si>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</si>
  <si>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</si>
  <si>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</si>
  <si>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</si>
  <si>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</si>
  <si>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</si>
  <si>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</si>
  <si>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</si>
  <si>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</si>
  <si>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</si>
  <si>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</si>
  <si>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</si>
  <si>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</si>
  <si>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</si>
  <si>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</si>
  <si>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</si>
  <si>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</si>
  <si>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</si>
  <si>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</si>
  <si>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</si>
  <si>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</si>
  <si>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</si>
  <si>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</si>
  <si>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</si>
  <si>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</si>
  <si>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</si>
  <si>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</si>
  <si>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</si>
  <si>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</si>
  <si>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</si>
  <si>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</si>
  <si>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</si>
  <si>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</si>
  <si>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</si>
  <si>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</si>
  <si>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</si>
  <si>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</si>
  <si>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</si>
  <si>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</si>
  <si>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</si>
  <si>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</si>
  <si>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</si>
  <si>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</si>
  <si>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</si>
  <si>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</si>
  <si>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</si>
  <si>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</si>
  <si>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</si>
  <si>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</si>
  <si>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</si>
  <si>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</si>
  <si>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</si>
  <si>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</si>
  <si>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</si>
  <si>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</si>
  <si>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</si>
  <si>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</si>
  <si>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</si>
  <si>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</si>
  <si>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</si>
  <si>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</si>
  <si>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</si>
  <si>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</si>
  <si>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</si>
  <si>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</si>
  <si>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</si>
  <si>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</si>
  <si>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</si>
  <si>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</si>
  <si>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</si>
  <si>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</si>
  <si>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</si>
  <si>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</si>
  <si>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</si>
  <si>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</si>
  <si>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</si>
  <si>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</si>
  <si>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</si>
  <si>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</si>
  <si>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</si>
  <si>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</si>
  <si>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</si>
  <si>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</si>
  <si>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</si>
  <si>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</si>
  <si>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</si>
  <si>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</si>
  <si>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</si>
  <si>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</si>
  <si>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</si>
  <si>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</si>
  <si>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</si>
  <si>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</si>
  <si>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</si>
  <si>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</si>
  <si>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</si>
  <si>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</si>
  <si>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</si>
  <si>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</si>
  <si>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</si>
  <si>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</si>
  <si>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</si>
  <si>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</si>
  <si>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</si>
  <si>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</si>
  <si>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</si>
  <si>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</si>
  <si>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</si>
  <si>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</si>
  <si>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</si>
  <si>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</si>
  <si>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</si>
  <si>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</si>
  <si>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</si>
  <si>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</si>
  <si>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</si>
  <si>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</si>
  <si>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</si>
  <si>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</si>
  <si>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</si>
  <si>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</si>
  <si>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</si>
  <si>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</si>
  <si>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</si>
  <si>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</si>
  <si>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</si>
  <si>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</si>
  <si>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</si>
  <si>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</si>
  <si>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</si>
  <si>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</si>
  <si>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</si>
  <si>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</si>
  <si>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</si>
  <si>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</si>
  <si>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</si>
  <si>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</si>
  <si>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</si>
  <si>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</si>
  <si>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</si>
  <si>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</si>
  <si>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</si>
  <si>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</si>
  <si>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</si>
  <si>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</si>
  <si>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</si>
  <si>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</si>
  <si>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</si>
  <si>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</si>
  <si>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</si>
  <si>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</si>
  <si>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</si>
  <si>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</si>
  <si>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</si>
  <si>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</si>
  <si>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</si>
  <si>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</si>
  <si>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</si>
  <si>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</si>
  <si>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</si>
  <si>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</si>
  <si>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</si>
  <si>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</si>
  <si>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</si>
  <si>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</si>
  <si>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</si>
  <si>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</si>
  <si>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</si>
  <si>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</si>
  <si>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</si>
  <si>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</si>
  <si>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</si>
  <si>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</si>
  <si>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</si>
  <si>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</si>
  <si>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</si>
  <si>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</si>
  <si>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</si>
  <si>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</si>
  <si>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</si>
  <si>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</si>
  <si>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</si>
  <si>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</si>
  <si>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</si>
  <si>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</si>
  <si>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</si>
  <si>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</si>
  <si>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</si>
  <si>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</si>
  <si>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</si>
  <si>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</si>
  <si>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</si>
  <si>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</si>
  <si>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</si>
  <si>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</si>
  <si>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</si>
  <si>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</si>
  <si>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</si>
  <si>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</si>
  <si>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</si>
  <si>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</si>
  <si>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</si>
  <si>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</si>
  <si>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</si>
  <si>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</si>
  <si>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</si>
  <si>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</si>
  <si>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</si>
  <si>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</si>
  <si>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</si>
  <si>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</si>
  <si>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</si>
  <si>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</si>
  <si>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</si>
  <si>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HOPKINTON SCHOOL DISTRICT</t>
  </si>
  <si>
    <t>5/07</t>
  </si>
  <si>
    <t>8/17</t>
  </si>
  <si>
    <t>2.5 - 5.0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</si>
</sst>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0" fontId="2" fillId="0" borderId="0" xfId="0" quotePrefix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263</v>
      </c>
      <c r="C2" s="21">
        <v>263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765680+240929+1</f>
        <v>1006610</v>
      </c>
      <c r="G9" s="18">
        <v>100</v>
      </c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>
        <v>1741676</v>
      </c>
      <c r="J10" s="67">
        <f>SUM(I440)</f>
        <v>548095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56541</v>
      </c>
      <c r="G12" s="18">
        <v>9584</v>
      </c>
      <c r="H12" s="18">
        <v>35948</v>
      </c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15758</v>
      </c>
      <c r="G13" s="18">
        <v>5256</v>
      </c>
      <c r="H13" s="18">
        <v>61211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15165</v>
      </c>
      <c r="G14" s="18">
        <v>259</v>
      </c>
      <c r="H14" s="18">
        <v>1000</v>
      </c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10687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1104761</v>
      </c>
      <c r="G19" s="41">
        <f>SUM(G9:G18)</f>
        <v>15199</v>
      </c>
      <c r="H19" s="41">
        <f>SUM(H9:H18)</f>
        <v>98159</v>
      </c>
      <c r="I19" s="41">
        <f>SUM(I9:I18)</f>
        <v>1741676</v>
      </c>
      <c r="J19" s="41">
        <f>SUM(J9:J18)</f>
        <v>548095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45532</v>
      </c>
      <c r="G22" s="18"/>
      <c r="H22" s="18">
        <f>56541</f>
        <v>56541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94295</v>
      </c>
      <c r="G24" s="18">
        <v>1135</v>
      </c>
      <c r="H24" s="18">
        <f>2102+616</f>
        <v>2718</v>
      </c>
      <c r="I24" s="18">
        <v>841928</v>
      </c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>
        <v>59415</v>
      </c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51633</v>
      </c>
      <c r="G28" s="18"/>
      <c r="H28" s="18">
        <v>4054</v>
      </c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2359</v>
      </c>
      <c r="G30" s="18">
        <v>14064</v>
      </c>
      <c r="H30" s="18">
        <v>34846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193819</v>
      </c>
      <c r="G32" s="41">
        <f>SUM(G22:G31)</f>
        <v>15199</v>
      </c>
      <c r="H32" s="41">
        <f>SUM(H22:H31)</f>
        <v>98159</v>
      </c>
      <c r="I32" s="41">
        <f>SUM(I22:I31)</f>
        <v>901343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f>F17</f>
        <v>10687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10000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341383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f>12500</f>
        <v>12500</v>
      </c>
      <c r="G48" s="18"/>
      <c r="H48" s="18"/>
      <c r="I48" s="18">
        <f>2165767-1325434</f>
        <v>840333</v>
      </c>
      <c r="J48" s="13">
        <f>SUM(I459)</f>
        <v>548095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10245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1104761-568634-10000</f>
        <v>526127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910942</v>
      </c>
      <c r="G51" s="41">
        <f>SUM(G35:G50)</f>
        <v>0</v>
      </c>
      <c r="H51" s="41">
        <f>SUM(H35:H50)</f>
        <v>0</v>
      </c>
      <c r="I51" s="41">
        <f>SUM(I35:I50)</f>
        <v>840333</v>
      </c>
      <c r="J51" s="41">
        <f>SUM(J35:J50)</f>
        <v>548095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1104761</v>
      </c>
      <c r="G52" s="41">
        <f>G51+G32</f>
        <v>15199</v>
      </c>
      <c r="H52" s="41">
        <f>H51+H32</f>
        <v>98159</v>
      </c>
      <c r="I52" s="41">
        <f>I51+I32</f>
        <v>1741676</v>
      </c>
      <c r="J52" s="41">
        <f>J51+J32</f>
        <v>548095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13477393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13477393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f>34979+39936</f>
        <v>74915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450</v>
      </c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4099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79464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192</v>
      </c>
      <c r="G96" s="18"/>
      <c r="H96" s="18"/>
      <c r="I96" s="18"/>
      <c r="J96" s="18">
        <v>3923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935+50723+1000+6564+298+25609+6439+11660+2303+49678+9225+777+63050+1350+1</f>
        <v>229612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f>13039+24366</f>
        <v>37405</v>
      </c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2328</v>
      </c>
      <c r="G101" s="18"/>
      <c r="H101" s="18">
        <v>1400</v>
      </c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f>400+552+1497+2223+409+898+1496+995+500+520+378+2700+500+9036+2000+6260</f>
        <v>30364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>
        <v>168</v>
      </c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292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7014+21512+1</f>
        <v>28527</v>
      </c>
      <c r="G110" s="18"/>
      <c r="H110" s="18">
        <f>12204+1953+1087+306+1225</f>
        <v>16775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68912</v>
      </c>
      <c r="G111" s="41">
        <f>SUM(G96:G110)</f>
        <v>229612</v>
      </c>
      <c r="H111" s="41">
        <f>SUM(H96:H110)</f>
        <v>48539</v>
      </c>
      <c r="I111" s="41">
        <f>SUM(I96:I110)</f>
        <v>0</v>
      </c>
      <c r="J111" s="41">
        <f>SUM(J96:J110)</f>
        <v>3923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13625769</v>
      </c>
      <c r="G112" s="41">
        <f>G60+G111</f>
        <v>229612</v>
      </c>
      <c r="H112" s="41">
        <f>H60+H79+H94+H111</f>
        <v>48539</v>
      </c>
      <c r="I112" s="41">
        <f>I60+I111</f>
        <v>0</v>
      </c>
      <c r="J112" s="41">
        <f>J60+J111</f>
        <v>3923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2175748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1389580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13311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3578639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173286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88290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4975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f>1242+11+121+231+812+963+233</f>
        <v>3613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>
        <f>5500+1235</f>
        <v>6735</v>
      </c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266551</v>
      </c>
      <c r="G136" s="41">
        <f>SUM(G123:G135)</f>
        <v>3613</v>
      </c>
      <c r="H136" s="41">
        <f>SUM(H123:H135)</f>
        <v>6735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3845190</v>
      </c>
      <c r="G140" s="41">
        <f>G121+SUM(G136:G137)</f>
        <v>3613</v>
      </c>
      <c r="H140" s="41">
        <f>H121+SUM(H136:H139)</f>
        <v>6735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f>4229+43394</f>
        <v>47623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2400+82660+12742+3395+1282+8585+153-1+3491+7888+3374+1057+2508+2242+750+1343+1200+2500+248+18350+521</f>
        <v>156688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f>17614+18052+138+5887+13922+6150+14039+4802</f>
        <v>80604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f>8894+33271+8391+4090+4054+1700+1000+47808+139474-1</f>
        <v>248681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168817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168817</v>
      </c>
      <c r="G162" s="41">
        <f>SUM(G150:G161)</f>
        <v>80604</v>
      </c>
      <c r="H162" s="41">
        <f>SUM(H150:H161)</f>
        <v>452992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168817</v>
      </c>
      <c r="G169" s="41">
        <f>G147+G162+SUM(G163:G168)</f>
        <v>80604</v>
      </c>
      <c r="H169" s="41">
        <f>H147+H162+SUM(H163:H168)</f>
        <v>452992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98237</v>
      </c>
      <c r="H179" s="18">
        <v>3061</v>
      </c>
      <c r="I179" s="18"/>
      <c r="J179" s="18">
        <v>60000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>
        <f>363+554</f>
        <v>917</v>
      </c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917</v>
      </c>
      <c r="G183" s="41">
        <f>SUM(G179:G182)</f>
        <v>98237</v>
      </c>
      <c r="H183" s="41">
        <f>SUM(H179:H182)</f>
        <v>3061</v>
      </c>
      <c r="I183" s="41">
        <f>SUM(I179:I182)</f>
        <v>0</v>
      </c>
      <c r="J183" s="41">
        <f>SUM(J179:J182)</f>
        <v>60000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>
        <v>2165767</v>
      </c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917</v>
      </c>
      <c r="G192" s="41">
        <f>G183+SUM(G188:G191)</f>
        <v>98237</v>
      </c>
      <c r="H192" s="41">
        <f>+H183+SUM(H188:H191)</f>
        <v>3061</v>
      </c>
      <c r="I192" s="41">
        <f>I177+I183+SUM(I188:I191)</f>
        <v>2165767</v>
      </c>
      <c r="J192" s="41">
        <f>J183</f>
        <v>60000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17640693</v>
      </c>
      <c r="G193" s="47">
        <f>G112+G140+G169+G192</f>
        <v>412066</v>
      </c>
      <c r="H193" s="47">
        <f>H112+H140+H169+H192</f>
        <v>511327</v>
      </c>
      <c r="I193" s="47">
        <f>I112+I140+I169+I192</f>
        <v>2165767</v>
      </c>
      <c r="J193" s="47">
        <f>J112+J140+J192</f>
        <v>63923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1342766+915201+84791</f>
        <v>2342758</v>
      </c>
      <c r="G197" s="18">
        <f>647261+472741+27877-2</f>
        <v>1147877</v>
      </c>
      <c r="H197" s="18">
        <f>379+8170</f>
        <v>8549</v>
      </c>
      <c r="I197" s="18">
        <f>28078+11266+9837</f>
        <v>49181</v>
      </c>
      <c r="J197" s="18">
        <f>3923+1674+5744</f>
        <v>11341</v>
      </c>
      <c r="K197" s="18">
        <f>1170+390+44</f>
        <v>1604</v>
      </c>
      <c r="L197" s="19">
        <f>SUM(F197:K197)</f>
        <v>3561310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684644+485868+46714</f>
        <v>1217226</v>
      </c>
      <c r="G198" s="18">
        <f>260464+190967+12816</f>
        <v>464247</v>
      </c>
      <c r="H198" s="18">
        <f>370642-320111+12720+94878</f>
        <v>158129</v>
      </c>
      <c r="I198" s="18">
        <f>1441+389+9752</f>
        <v>11582</v>
      </c>
      <c r="J198" s="18">
        <f>128+2872</f>
        <v>3000</v>
      </c>
      <c r="K198" s="18"/>
      <c r="L198" s="19">
        <f>SUM(F198:K198)</f>
        <v>1854184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f>3050+7684</f>
        <v>10734</v>
      </c>
      <c r="G200" s="18">
        <f>774+1492</f>
        <v>2266</v>
      </c>
      <c r="H200" s="18"/>
      <c r="I200" s="18"/>
      <c r="J200" s="18"/>
      <c r="K200" s="18"/>
      <c r="L200" s="19">
        <f>SUM(F200:K200)</f>
        <v>13000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236558+161384+126419</f>
        <v>524361</v>
      </c>
      <c r="G202" s="18">
        <f>116258+102668+40125</f>
        <v>259051</v>
      </c>
      <c r="H202" s="18">
        <f>71+49+45979</f>
        <v>46099</v>
      </c>
      <c r="I202" s="18">
        <f>1844+1056+2052</f>
        <v>4952</v>
      </c>
      <c r="J202" s="18">
        <f>150+602+814</f>
        <v>1566</v>
      </c>
      <c r="K202" s="18"/>
      <c r="L202" s="19">
        <f t="shared" ref="L202:L208" si="0">SUM(F202:K202)</f>
        <v>836029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59281+58872+44428-2</f>
        <v>162579</v>
      </c>
      <c r="G203" s="18">
        <f>7468+17754+14114</f>
        <v>39336</v>
      </c>
      <c r="H203" s="18">
        <f>30649+16238-1+34518</f>
        <v>81404</v>
      </c>
      <c r="I203" s="18">
        <f>10364+10071+8833</f>
        <v>29268</v>
      </c>
      <c r="J203" s="18">
        <f>11448+13814+17973</f>
        <v>43235</v>
      </c>
      <c r="K203" s="18">
        <f>1302+1277+7462</f>
        <v>10041</v>
      </c>
      <c r="L203" s="19">
        <f t="shared" si="0"/>
        <v>365863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177627</v>
      </c>
      <c r="G204" s="18">
        <v>69570</v>
      </c>
      <c r="H204" s="18">
        <v>37145</v>
      </c>
      <c r="I204" s="18">
        <v>10314</v>
      </c>
      <c r="J204" s="18">
        <v>46</v>
      </c>
      <c r="K204" s="18">
        <v>10195</v>
      </c>
      <c r="L204" s="19">
        <f t="shared" si="0"/>
        <v>304897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f>138757+121475</f>
        <v>260232</v>
      </c>
      <c r="G205" s="18">
        <f>76845+61632</f>
        <v>138477</v>
      </c>
      <c r="H205" s="18">
        <f>6590+5072</f>
        <v>11662</v>
      </c>
      <c r="I205" s="18">
        <f>206+169</f>
        <v>375</v>
      </c>
      <c r="J205" s="18"/>
      <c r="K205" s="18">
        <f>1107+906</f>
        <v>2013</v>
      </c>
      <c r="L205" s="19">
        <f t="shared" si="0"/>
        <v>412759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105704</v>
      </c>
      <c r="G206" s="18">
        <v>42399</v>
      </c>
      <c r="H206" s="18"/>
      <c r="I206" s="18">
        <v>11424</v>
      </c>
      <c r="J206" s="18"/>
      <c r="K206" s="18"/>
      <c r="L206" s="19">
        <f t="shared" si="0"/>
        <v>159527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f>80183+91935+43073+3</f>
        <v>215194</v>
      </c>
      <c r="G207" s="18">
        <f>34381+60371+13878</f>
        <v>108630</v>
      </c>
      <c r="H207" s="18">
        <f>45526+31178+30325-1</f>
        <v>107028</v>
      </c>
      <c r="I207" s="18">
        <f>50930+57155+6998-3</f>
        <v>115080</v>
      </c>
      <c r="J207" s="18">
        <f>2425+648+1941</f>
        <v>5014</v>
      </c>
      <c r="K207" s="18"/>
      <c r="L207" s="19">
        <f t="shared" si="0"/>
        <v>550946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f>1772+1505+17764</f>
        <v>21041</v>
      </c>
      <c r="G208" s="18">
        <f>138+125+1000+13706-2</f>
        <v>14967</v>
      </c>
      <c r="H208" s="18">
        <f>1539+1500+260+3433+243310</f>
        <v>250042</v>
      </c>
      <c r="I208" s="18">
        <v>3171</v>
      </c>
      <c r="J208" s="18"/>
      <c r="K208" s="18">
        <v>44</v>
      </c>
      <c r="L208" s="19">
        <f t="shared" si="0"/>
        <v>289265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79229</v>
      </c>
      <c r="G209" s="18">
        <v>30551</v>
      </c>
      <c r="H209" s="18">
        <v>2595</v>
      </c>
      <c r="I209" s="18"/>
      <c r="J209" s="18">
        <v>3877</v>
      </c>
      <c r="K209" s="18">
        <v>6881</v>
      </c>
      <c r="L209" s="19">
        <f>SUM(F209:K209)</f>
        <v>123133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5116685</v>
      </c>
      <c r="G211" s="41">
        <f t="shared" si="1"/>
        <v>2317371</v>
      </c>
      <c r="H211" s="41">
        <f t="shared" si="1"/>
        <v>702653</v>
      </c>
      <c r="I211" s="41">
        <f t="shared" si="1"/>
        <v>235347</v>
      </c>
      <c r="J211" s="41">
        <f t="shared" si="1"/>
        <v>68079</v>
      </c>
      <c r="K211" s="41">
        <f t="shared" si="1"/>
        <v>30778</v>
      </c>
      <c r="L211" s="41">
        <f t="shared" si="1"/>
        <v>8470913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f>791554+29351</f>
        <v>820905</v>
      </c>
      <c r="G215" s="18">
        <f>383029+9650</f>
        <v>392679</v>
      </c>
      <c r="H215" s="18">
        <f>2032+2828</f>
        <v>4860</v>
      </c>
      <c r="I215" s="18">
        <f>14466+3405</f>
        <v>17871</v>
      </c>
      <c r="J215" s="18">
        <f>2482+1988</f>
        <v>4470</v>
      </c>
      <c r="K215" s="18">
        <f>450+15</f>
        <v>465</v>
      </c>
      <c r="L215" s="19">
        <f>SUM(F215:K215)</f>
        <v>1241250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f>292929+9639</f>
        <v>302568</v>
      </c>
      <c r="G216" s="18">
        <f>142536+2645</f>
        <v>145181</v>
      </c>
      <c r="H216" s="18">
        <f>76482-66055+31378</f>
        <v>41805</v>
      </c>
      <c r="I216" s="18">
        <f>1259+2012</f>
        <v>3271</v>
      </c>
      <c r="J216" s="18">
        <f>664+593</f>
        <v>1257</v>
      </c>
      <c r="K216" s="18"/>
      <c r="L216" s="19">
        <f>SUM(F216:K216)</f>
        <v>494082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45177</v>
      </c>
      <c r="G218" s="18">
        <v>7169</v>
      </c>
      <c r="H218" s="18">
        <v>10500</v>
      </c>
      <c r="I218" s="18">
        <v>3136</v>
      </c>
      <c r="J218" s="18">
        <v>1746</v>
      </c>
      <c r="K218" s="18"/>
      <c r="L218" s="19">
        <f>SUM(F218:K218)</f>
        <v>67728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f>61149+43761</f>
        <v>104910</v>
      </c>
      <c r="G220" s="18">
        <f>26025+13889</f>
        <v>39914</v>
      </c>
      <c r="H220" s="18">
        <f>42+15916</f>
        <v>15958</v>
      </c>
      <c r="I220" s="18">
        <f>848+710</f>
        <v>1558</v>
      </c>
      <c r="J220" s="18">
        <f>18+282</f>
        <v>300</v>
      </c>
      <c r="K220" s="18"/>
      <c r="L220" s="19">
        <f t="shared" ref="L220:L226" si="2">SUM(F220:K220)</f>
        <v>162640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f>27515+15379</f>
        <v>42894</v>
      </c>
      <c r="G221" s="18">
        <f>14134+4886</f>
        <v>19020</v>
      </c>
      <c r="H221" s="18">
        <f>6569+11948</f>
        <v>18517</v>
      </c>
      <c r="I221" s="18">
        <f>7580+3058</f>
        <v>10638</v>
      </c>
      <c r="J221" s="18">
        <f>12392+6221</f>
        <v>18613</v>
      </c>
      <c r="K221" s="18">
        <f>1396+2583</f>
        <v>3979</v>
      </c>
      <c r="L221" s="19">
        <f t="shared" si="2"/>
        <v>113661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61812</v>
      </c>
      <c r="G222" s="18">
        <v>24210</v>
      </c>
      <c r="H222" s="18">
        <v>12926</v>
      </c>
      <c r="I222" s="18">
        <v>3589</v>
      </c>
      <c r="J222" s="18">
        <v>16</v>
      </c>
      <c r="K222" s="18">
        <v>3548</v>
      </c>
      <c r="L222" s="19">
        <f t="shared" si="2"/>
        <v>106101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88058</v>
      </c>
      <c r="G223" s="18">
        <v>39009</v>
      </c>
      <c r="H223" s="18">
        <v>4098</v>
      </c>
      <c r="I223" s="18">
        <v>760</v>
      </c>
      <c r="J223" s="18">
        <v>83</v>
      </c>
      <c r="K223" s="18">
        <v>741</v>
      </c>
      <c r="L223" s="19">
        <f t="shared" si="2"/>
        <v>132749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36590</v>
      </c>
      <c r="G224" s="18">
        <v>14677</v>
      </c>
      <c r="H224" s="18"/>
      <c r="I224" s="18">
        <v>3954</v>
      </c>
      <c r="J224" s="18"/>
      <c r="K224" s="18"/>
      <c r="L224" s="19">
        <f t="shared" si="2"/>
        <v>55221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f>38199+11596</f>
        <v>49795</v>
      </c>
      <c r="G225" s="18">
        <f>18783+3736</f>
        <v>22519</v>
      </c>
      <c r="H225" s="18">
        <f>18318+8164</f>
        <v>26482</v>
      </c>
      <c r="I225" s="18">
        <f>40414+1884</f>
        <v>42298</v>
      </c>
      <c r="J225" s="18">
        <f>1423+523</f>
        <v>1946</v>
      </c>
      <c r="K225" s="18"/>
      <c r="L225" s="19">
        <f t="shared" si="2"/>
        <v>143040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6182</v>
      </c>
      <c r="G226" s="18">
        <v>4770</v>
      </c>
      <c r="H226" s="18">
        <f>91+1194+86497+16600</f>
        <v>104382</v>
      </c>
      <c r="I226" s="18">
        <v>1104</v>
      </c>
      <c r="J226" s="18"/>
      <c r="K226" s="18">
        <v>15</v>
      </c>
      <c r="L226" s="19">
        <f t="shared" si="2"/>
        <v>116453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27426</v>
      </c>
      <c r="G227" s="18">
        <v>10575</v>
      </c>
      <c r="H227" s="18">
        <v>898</v>
      </c>
      <c r="I227" s="18"/>
      <c r="J227" s="18">
        <v>1342</v>
      </c>
      <c r="K227" s="18">
        <v>2382</v>
      </c>
      <c r="L227" s="19">
        <f>SUM(F227:K227)</f>
        <v>42623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1586317</v>
      </c>
      <c r="G229" s="41">
        <f>SUM(G215:G228)</f>
        <v>719723</v>
      </c>
      <c r="H229" s="41">
        <f>SUM(H215:H228)</f>
        <v>240426</v>
      </c>
      <c r="I229" s="41">
        <f>SUM(I215:I228)</f>
        <v>88179</v>
      </c>
      <c r="J229" s="41">
        <f>SUM(J215:J228)</f>
        <v>29773</v>
      </c>
      <c r="K229" s="41">
        <f t="shared" si="3"/>
        <v>11130</v>
      </c>
      <c r="L229" s="41">
        <f t="shared" si="3"/>
        <v>2675548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f>1507315+48918</f>
        <v>1556233</v>
      </c>
      <c r="G233" s="18">
        <f>735067+16083</f>
        <v>751150</v>
      </c>
      <c r="H233" s="18">
        <f>10724+4713</f>
        <v>15437</v>
      </c>
      <c r="I233" s="18">
        <f>41388+5675</f>
        <v>47063</v>
      </c>
      <c r="J233" s="18">
        <f>10379+3314</f>
        <v>13693</v>
      </c>
      <c r="K233" s="18">
        <f>1915+26</f>
        <v>1941</v>
      </c>
      <c r="L233" s="19">
        <f>SUM(F233:K233)</f>
        <v>2385517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f>417293+17796-1</f>
        <v>435088</v>
      </c>
      <c r="G234" s="18">
        <f>184431+4882</f>
        <v>189313</v>
      </c>
      <c r="H234" s="18">
        <f>141197-121947+464016+999-94878</f>
        <v>389387</v>
      </c>
      <c r="I234" s="18">
        <f>1020+3715</f>
        <v>4735</v>
      </c>
      <c r="J234" s="18">
        <v>1094</v>
      </c>
      <c r="K234" s="18"/>
      <c r="L234" s="19">
        <f>SUM(F234:K234)</f>
        <v>1019617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>
        <v>36565</v>
      </c>
      <c r="I235" s="18"/>
      <c r="J235" s="18"/>
      <c r="K235" s="18"/>
      <c r="L235" s="19">
        <f>SUM(F235:K235)</f>
        <v>36565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175956</v>
      </c>
      <c r="G236" s="18">
        <v>29144</v>
      </c>
      <c r="H236" s="18">
        <v>82036</v>
      </c>
      <c r="I236" s="18">
        <v>9953</v>
      </c>
      <c r="J236" s="18">
        <v>6297</v>
      </c>
      <c r="K236" s="18">
        <v>10875</v>
      </c>
      <c r="L236" s="19">
        <f>SUM(F236:K236)</f>
        <v>314261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f>233114+72934</f>
        <v>306048</v>
      </c>
      <c r="G238" s="18">
        <f>93296+23149</f>
        <v>116445</v>
      </c>
      <c r="H238" s="18">
        <f>42+26526</f>
        <v>26568</v>
      </c>
      <c r="I238" s="18">
        <f>3522+1184</f>
        <v>4706</v>
      </c>
      <c r="J238" s="18">
        <f>42+470</f>
        <v>512</v>
      </c>
      <c r="K238" s="18">
        <v>1635</v>
      </c>
      <c r="L238" s="19">
        <f t="shared" ref="L238:L244" si="4">SUM(F238:K238)</f>
        <v>455914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f>65105+25632</f>
        <v>90737</v>
      </c>
      <c r="G239" s="18">
        <f>33205+8143</f>
        <v>41348</v>
      </c>
      <c r="H239" s="18">
        <f>17993+19914</f>
        <v>37907</v>
      </c>
      <c r="I239" s="18">
        <f>18215+5096</f>
        <v>23311</v>
      </c>
      <c r="J239" s="18">
        <f>19140+10369</f>
        <v>29509</v>
      </c>
      <c r="K239" s="18">
        <f>3258+4305</f>
        <v>7563</v>
      </c>
      <c r="L239" s="19">
        <f t="shared" si="4"/>
        <v>230375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101650</v>
      </c>
      <c r="G240" s="18">
        <v>39813</v>
      </c>
      <c r="H240" s="18">
        <v>21257</v>
      </c>
      <c r="I240" s="18">
        <v>5903</v>
      </c>
      <c r="J240" s="18">
        <v>26</v>
      </c>
      <c r="K240" s="18">
        <v>5834</v>
      </c>
      <c r="L240" s="19">
        <f t="shared" si="4"/>
        <v>174483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189733</v>
      </c>
      <c r="G241" s="18">
        <v>87003</v>
      </c>
      <c r="H241" s="18">
        <v>10871</v>
      </c>
      <c r="I241" s="18">
        <v>11798</v>
      </c>
      <c r="J241" s="18">
        <v>192</v>
      </c>
      <c r="K241" s="18">
        <v>1792</v>
      </c>
      <c r="L241" s="19">
        <f t="shared" si="4"/>
        <v>301389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60983</v>
      </c>
      <c r="G242" s="18">
        <v>24461</v>
      </c>
      <c r="H242" s="18"/>
      <c r="I242" s="18">
        <v>6591</v>
      </c>
      <c r="J242" s="18"/>
      <c r="K242" s="18"/>
      <c r="L242" s="19">
        <f t="shared" si="4"/>
        <v>92035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f>149815+28163+2</f>
        <v>177980</v>
      </c>
      <c r="G243" s="18">
        <f>78613+9074</f>
        <v>87687</v>
      </c>
      <c r="H243" s="18">
        <f>38742+19828</f>
        <v>58570</v>
      </c>
      <c r="I243" s="18">
        <f>93009+4576-2</f>
        <v>97583</v>
      </c>
      <c r="J243" s="18">
        <f>3350+1269</f>
        <v>4619</v>
      </c>
      <c r="K243" s="18"/>
      <c r="L243" s="19">
        <f t="shared" si="4"/>
        <v>426439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10166</v>
      </c>
      <c r="G244" s="18">
        <v>7844</v>
      </c>
      <c r="H244" s="18">
        <f>44490+149+19693+321133-345-999-16600</f>
        <v>367521</v>
      </c>
      <c r="I244" s="18">
        <v>1815</v>
      </c>
      <c r="J244" s="18"/>
      <c r="K244" s="18">
        <v>25</v>
      </c>
      <c r="L244" s="19">
        <f t="shared" si="4"/>
        <v>387371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45709</v>
      </c>
      <c r="G245" s="18">
        <v>17625</v>
      </c>
      <c r="H245" s="18">
        <v>1497</v>
      </c>
      <c r="I245" s="18"/>
      <c r="J245" s="18">
        <v>2237</v>
      </c>
      <c r="K245" s="18">
        <v>3970</v>
      </c>
      <c r="L245" s="19">
        <f>SUM(F245:K245)</f>
        <v>71038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3150283</v>
      </c>
      <c r="G247" s="41">
        <f t="shared" si="5"/>
        <v>1391833</v>
      </c>
      <c r="H247" s="41">
        <f t="shared" si="5"/>
        <v>1047616</v>
      </c>
      <c r="I247" s="41">
        <f t="shared" si="5"/>
        <v>213458</v>
      </c>
      <c r="J247" s="41">
        <f t="shared" si="5"/>
        <v>58179</v>
      </c>
      <c r="K247" s="41">
        <f t="shared" si="5"/>
        <v>33635</v>
      </c>
      <c r="L247" s="41">
        <f t="shared" si="5"/>
        <v>5895004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2200</v>
      </c>
      <c r="I255" s="18"/>
      <c r="J255" s="18"/>
      <c r="K255" s="18"/>
      <c r="L255" s="19">
        <f t="shared" si="6"/>
        <v>2200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2200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2200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9853285</v>
      </c>
      <c r="G257" s="41">
        <f t="shared" si="8"/>
        <v>4428927</v>
      </c>
      <c r="H257" s="41">
        <f t="shared" si="8"/>
        <v>1992895</v>
      </c>
      <c r="I257" s="41">
        <f t="shared" si="8"/>
        <v>536984</v>
      </c>
      <c r="J257" s="41">
        <f t="shared" si="8"/>
        <v>156031</v>
      </c>
      <c r="K257" s="41">
        <f t="shared" si="8"/>
        <v>75543</v>
      </c>
      <c r="L257" s="41">
        <f t="shared" si="8"/>
        <v>17043665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540000</v>
      </c>
      <c r="L260" s="19">
        <f>SUM(F260:K260)</f>
        <v>540000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13500</v>
      </c>
      <c r="L261" s="19">
        <f>SUM(F261:K261)</f>
        <v>13500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98237</v>
      </c>
      <c r="L263" s="19">
        <f>SUM(F263:K263)</f>
        <v>98237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>
        <f>3061</f>
        <v>3061</v>
      </c>
      <c r="L264" s="19">
        <f t="shared" ref="L264:L270" si="9">SUM(F264:K264)</f>
        <v>3061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f>50000+10000</f>
        <v>60000</v>
      </c>
      <c r="L266" s="19">
        <f t="shared" si="9"/>
        <v>60000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714798</v>
      </c>
      <c r="L270" s="41">
        <f t="shared" si="9"/>
        <v>714798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9853285</v>
      </c>
      <c r="G271" s="42">
        <f t="shared" si="11"/>
        <v>4428927</v>
      </c>
      <c r="H271" s="42">
        <f t="shared" si="11"/>
        <v>1992895</v>
      </c>
      <c r="I271" s="42">
        <f t="shared" si="11"/>
        <v>536984</v>
      </c>
      <c r="J271" s="42">
        <f t="shared" si="11"/>
        <v>156031</v>
      </c>
      <c r="K271" s="42">
        <f t="shared" si="11"/>
        <v>790341</v>
      </c>
      <c r="L271" s="42">
        <f t="shared" si="11"/>
        <v>17758463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29158+1521</f>
        <v>30679</v>
      </c>
      <c r="G276" s="18">
        <f>17728+386</f>
        <v>18114</v>
      </c>
      <c r="H276" s="18">
        <v>3584</v>
      </c>
      <c r="I276" s="18">
        <v>4861</v>
      </c>
      <c r="J276" s="18">
        <f>103+199</f>
        <v>302</v>
      </c>
      <c r="K276" s="18">
        <v>3218</v>
      </c>
      <c r="L276" s="19">
        <f>SUM(F276:K276)</f>
        <v>60758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60534</v>
      </c>
      <c r="G277" s="18">
        <v>30708</v>
      </c>
      <c r="H277" s="18">
        <v>4693</v>
      </c>
      <c r="I277" s="18">
        <v>4294</v>
      </c>
      <c r="J277" s="18">
        <f>3354</f>
        <v>3354</v>
      </c>
      <c r="K277" s="18"/>
      <c r="L277" s="19">
        <f>SUM(F277:K277)</f>
        <v>103583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>
        <v>9165</v>
      </c>
      <c r="I281" s="18">
        <f>276+1017</f>
        <v>1293</v>
      </c>
      <c r="J281" s="18">
        <v>361</v>
      </c>
      <c r="K281" s="18"/>
      <c r="L281" s="19">
        <f t="shared" ref="L281:L287" si="12">SUM(F281:K281)</f>
        <v>10819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6046</v>
      </c>
      <c r="G282" s="18">
        <v>1531</v>
      </c>
      <c r="H282" s="18">
        <v>48093</v>
      </c>
      <c r="I282" s="18">
        <f>11229+909</f>
        <v>12138</v>
      </c>
      <c r="J282" s="18">
        <v>249</v>
      </c>
      <c r="K282" s="18">
        <v>521</v>
      </c>
      <c r="L282" s="19">
        <f t="shared" si="12"/>
        <v>68578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>
        <v>737</v>
      </c>
      <c r="J283" s="18"/>
      <c r="K283" s="18">
        <v>350</v>
      </c>
      <c r="L283" s="19">
        <f t="shared" si="12"/>
        <v>1087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>
        <v>62</v>
      </c>
      <c r="J285" s="18">
        <v>718</v>
      </c>
      <c r="K285" s="18"/>
      <c r="L285" s="19">
        <f t="shared" si="12"/>
        <v>780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97259</v>
      </c>
      <c r="G290" s="42">
        <f t="shared" si="13"/>
        <v>50353</v>
      </c>
      <c r="H290" s="42">
        <f t="shared" si="13"/>
        <v>65535</v>
      </c>
      <c r="I290" s="42">
        <f t="shared" si="13"/>
        <v>23385</v>
      </c>
      <c r="J290" s="42">
        <f t="shared" si="13"/>
        <v>4984</v>
      </c>
      <c r="K290" s="42">
        <f t="shared" si="13"/>
        <v>4089</v>
      </c>
      <c r="L290" s="41">
        <f t="shared" si="13"/>
        <v>245605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>
        <f>225+1171</f>
        <v>1396</v>
      </c>
      <c r="I295" s="18">
        <v>1986</v>
      </c>
      <c r="J295" s="18">
        <f>1650+36+269+600</f>
        <v>2555</v>
      </c>
      <c r="K295" s="18">
        <v>1194</v>
      </c>
      <c r="L295" s="19">
        <f>SUM(F295:K295)</f>
        <v>7131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49300</v>
      </c>
      <c r="G296" s="18">
        <v>26567</v>
      </c>
      <c r="H296" s="18">
        <f>16972+1</f>
        <v>16973</v>
      </c>
      <c r="I296" s="18">
        <v>1494</v>
      </c>
      <c r="J296" s="18">
        <v>1161</v>
      </c>
      <c r="K296" s="18"/>
      <c r="L296" s="19">
        <f>SUM(F296:K296)</f>
        <v>95495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>
        <v>210</v>
      </c>
      <c r="L298" s="19">
        <f>SUM(F298:K298)</f>
        <v>210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>
        <v>3189</v>
      </c>
      <c r="I300" s="18">
        <f>96+354</f>
        <v>450</v>
      </c>
      <c r="J300" s="18">
        <v>125</v>
      </c>
      <c r="K300" s="18"/>
      <c r="L300" s="19">
        <f t="shared" ref="L300:L306" si="14">SUM(F300:K300)</f>
        <v>3764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2104</v>
      </c>
      <c r="G301" s="18">
        <v>533</v>
      </c>
      <c r="H301" s="18">
        <v>15723</v>
      </c>
      <c r="I301" s="18">
        <f>3671+24</f>
        <v>3695</v>
      </c>
      <c r="J301" s="18">
        <v>68</v>
      </c>
      <c r="K301" s="18">
        <v>181</v>
      </c>
      <c r="L301" s="19">
        <f t="shared" si="14"/>
        <v>22304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>
        <v>22</v>
      </c>
      <c r="J304" s="18">
        <v>248</v>
      </c>
      <c r="K304" s="18"/>
      <c r="L304" s="19">
        <f t="shared" si="14"/>
        <v>270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>
        <v>1269</v>
      </c>
      <c r="I306" s="18"/>
      <c r="J306" s="18"/>
      <c r="K306" s="18"/>
      <c r="L306" s="19">
        <f t="shared" si="14"/>
        <v>1269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51404</v>
      </c>
      <c r="G309" s="42">
        <f t="shared" si="15"/>
        <v>27100</v>
      </c>
      <c r="H309" s="42">
        <f t="shared" si="15"/>
        <v>38550</v>
      </c>
      <c r="I309" s="42">
        <f t="shared" si="15"/>
        <v>7647</v>
      </c>
      <c r="J309" s="42">
        <f t="shared" si="15"/>
        <v>4157</v>
      </c>
      <c r="K309" s="42">
        <f t="shared" si="15"/>
        <v>1585</v>
      </c>
      <c r="L309" s="41">
        <f t="shared" si="15"/>
        <v>130443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>
        <v>3255</v>
      </c>
      <c r="I314" s="18">
        <f>4515+303+1</f>
        <v>4819</v>
      </c>
      <c r="J314" s="18">
        <f>3850+60+628+1400</f>
        <v>5938</v>
      </c>
      <c r="K314" s="18">
        <v>9046</v>
      </c>
      <c r="L314" s="19">
        <f>SUM(F314:K314)</f>
        <v>23058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6701</v>
      </c>
      <c r="G315" s="18">
        <v>3379</v>
      </c>
      <c r="H315" s="18">
        <v>38525</v>
      </c>
      <c r="I315" s="18">
        <v>2457</v>
      </c>
      <c r="J315" s="18">
        <v>1936</v>
      </c>
      <c r="K315" s="18"/>
      <c r="L315" s="19">
        <f>SUM(F315:K315)</f>
        <v>52998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>
        <v>490</v>
      </c>
      <c r="L317" s="19">
        <f>SUM(F317:K317)</f>
        <v>490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>
        <v>5245</v>
      </c>
      <c r="I319" s="18">
        <f>158+582</f>
        <v>740</v>
      </c>
      <c r="J319" s="18">
        <v>209</v>
      </c>
      <c r="K319" s="18"/>
      <c r="L319" s="19">
        <f t="shared" ref="L319:L325" si="16">SUM(F319:K319)</f>
        <v>6194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3460</v>
      </c>
      <c r="G320" s="18">
        <v>876</v>
      </c>
      <c r="H320" s="18">
        <v>28671</v>
      </c>
      <c r="I320" s="18">
        <f>6694+57</f>
        <v>6751</v>
      </c>
      <c r="J320" s="18">
        <v>157</v>
      </c>
      <c r="K320" s="18">
        <v>298</v>
      </c>
      <c r="L320" s="19">
        <f t="shared" si="16"/>
        <v>40213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>
        <v>36</v>
      </c>
      <c r="J323" s="18">
        <v>414</v>
      </c>
      <c r="K323" s="18"/>
      <c r="L323" s="19">
        <f t="shared" si="16"/>
        <v>450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>
        <v>2960</v>
      </c>
      <c r="I325" s="18"/>
      <c r="J325" s="18"/>
      <c r="K325" s="18"/>
      <c r="L325" s="19">
        <f t="shared" si="16"/>
        <v>2960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10161</v>
      </c>
      <c r="G328" s="42">
        <f t="shared" si="17"/>
        <v>4255</v>
      </c>
      <c r="H328" s="42">
        <f t="shared" si="17"/>
        <v>78656</v>
      </c>
      <c r="I328" s="42">
        <f t="shared" si="17"/>
        <v>14803</v>
      </c>
      <c r="J328" s="42">
        <f t="shared" si="17"/>
        <v>8654</v>
      </c>
      <c r="K328" s="42">
        <f t="shared" si="17"/>
        <v>9834</v>
      </c>
      <c r="L328" s="41">
        <f t="shared" si="17"/>
        <v>126363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>
        <v>180</v>
      </c>
      <c r="I332" s="18"/>
      <c r="J332" s="18"/>
      <c r="K332" s="18"/>
      <c r="L332" s="19">
        <f t="shared" ref="L332:L337" si="18">SUM(F332:K332)</f>
        <v>180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>
        <f>500+4955</f>
        <v>5455</v>
      </c>
      <c r="J335" s="18"/>
      <c r="K335" s="18">
        <v>2364</v>
      </c>
      <c r="L335" s="19">
        <f t="shared" si="18"/>
        <v>7819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180</v>
      </c>
      <c r="I337" s="41">
        <f t="shared" si="19"/>
        <v>5455</v>
      </c>
      <c r="J337" s="41">
        <f t="shared" si="19"/>
        <v>0</v>
      </c>
      <c r="K337" s="41">
        <f t="shared" si="19"/>
        <v>2364</v>
      </c>
      <c r="L337" s="41">
        <f t="shared" si="18"/>
        <v>7999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158824</v>
      </c>
      <c r="G338" s="41">
        <f t="shared" si="20"/>
        <v>81708</v>
      </c>
      <c r="H338" s="41">
        <f t="shared" si="20"/>
        <v>182921</v>
      </c>
      <c r="I338" s="41">
        <f t="shared" si="20"/>
        <v>51290</v>
      </c>
      <c r="J338" s="41">
        <f t="shared" si="20"/>
        <v>17795</v>
      </c>
      <c r="K338" s="41">
        <f t="shared" si="20"/>
        <v>17872</v>
      </c>
      <c r="L338" s="41">
        <f t="shared" si="20"/>
        <v>510410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>
        <v>917</v>
      </c>
      <c r="L344" s="19">
        <f t="shared" ref="L344:L350" si="21">SUM(F344:K344)</f>
        <v>917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917</v>
      </c>
      <c r="L351" s="41">
        <f>SUM(L341:L350)</f>
        <v>917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158824</v>
      </c>
      <c r="G352" s="41">
        <f>G338</f>
        <v>81708</v>
      </c>
      <c r="H352" s="41">
        <f>H338</f>
        <v>182921</v>
      </c>
      <c r="I352" s="41">
        <f>I338</f>
        <v>51290</v>
      </c>
      <c r="J352" s="41">
        <f>J338</f>
        <v>17795</v>
      </c>
      <c r="K352" s="47">
        <f>K338+K351</f>
        <v>18789</v>
      </c>
      <c r="L352" s="41">
        <f>L338+L351</f>
        <v>511327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87967</v>
      </c>
      <c r="G358" s="18">
        <v>36301</v>
      </c>
      <c r="H358" s="18">
        <f>91+3453+841</f>
        <v>4385</v>
      </c>
      <c r="I358" s="18">
        <v>85083</v>
      </c>
      <c r="J358" s="18">
        <v>4684</v>
      </c>
      <c r="K358" s="18">
        <v>432</v>
      </c>
      <c r="L358" s="13">
        <f>SUM(F358:K358)</f>
        <v>218852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25431</v>
      </c>
      <c r="G359" s="18">
        <v>8743</v>
      </c>
      <c r="H359" s="18">
        <f>32+604+292</f>
        <v>928</v>
      </c>
      <c r="I359" s="18">
        <v>24397</v>
      </c>
      <c r="J359" s="18">
        <v>1405</v>
      </c>
      <c r="K359" s="18">
        <v>89</v>
      </c>
      <c r="L359" s="19">
        <f>SUM(F359:K359)</f>
        <v>60993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54178</v>
      </c>
      <c r="G360" s="18">
        <v>18150</v>
      </c>
      <c r="H360" s="18">
        <f>52+1410+481</f>
        <v>1943</v>
      </c>
      <c r="I360" s="18">
        <f>54484</f>
        <v>54484</v>
      </c>
      <c r="J360" s="18">
        <v>3279</v>
      </c>
      <c r="K360" s="18">
        <v>187</v>
      </c>
      <c r="L360" s="19">
        <f>SUM(F360:K360)</f>
        <v>132221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167576</v>
      </c>
      <c r="G362" s="47">
        <f t="shared" si="22"/>
        <v>63194</v>
      </c>
      <c r="H362" s="47">
        <f t="shared" si="22"/>
        <v>7256</v>
      </c>
      <c r="I362" s="47">
        <f t="shared" si="22"/>
        <v>163964</v>
      </c>
      <c r="J362" s="47">
        <f t="shared" si="22"/>
        <v>9368</v>
      </c>
      <c r="K362" s="47">
        <f t="shared" si="22"/>
        <v>708</v>
      </c>
      <c r="L362" s="47">
        <f t="shared" si="22"/>
        <v>412066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f>25566+8778+31648+4628+9159</f>
        <v>79779</v>
      </c>
      <c r="G367" s="18">
        <f>3171+19719</f>
        <v>22890</v>
      </c>
      <c r="H367" s="18">
        <v>51295</v>
      </c>
      <c r="I367" s="56">
        <f>SUM(F367:H367)</f>
        <v>153964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f>544+544+1015</f>
        <v>2103</v>
      </c>
      <c r="G368" s="63">
        <f>352+1132</f>
        <v>1484</v>
      </c>
      <c r="H368" s="63">
        <v>6413</v>
      </c>
      <c r="I368" s="56">
        <f>SUM(F368:H368)</f>
        <v>10000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81882</v>
      </c>
      <c r="G369" s="47">
        <f>SUM(G367:G368)</f>
        <v>24374</v>
      </c>
      <c r="H369" s="47">
        <f>SUM(H367:H368)</f>
        <v>57708</v>
      </c>
      <c r="I369" s="47">
        <f>SUM(I367:I368)</f>
        <v>163964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>
        <v>1325434</v>
      </c>
      <c r="K379" s="18"/>
      <c r="L379" s="13">
        <f t="shared" si="23"/>
        <v>1325434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1325434</v>
      </c>
      <c r="K382" s="47">
        <f t="shared" si="24"/>
        <v>0</v>
      </c>
      <c r="L382" s="47">
        <f t="shared" si="24"/>
        <v>1325434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>
        <v>50000</v>
      </c>
      <c r="H389" s="18">
        <v>3519</v>
      </c>
      <c r="I389" s="18"/>
      <c r="J389" s="24" t="s">
        <v>286</v>
      </c>
      <c r="K389" s="24" t="s">
        <v>286</v>
      </c>
      <c r="L389" s="56">
        <f t="shared" si="25"/>
        <v>53519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>
        <v>10000</v>
      </c>
      <c r="H392" s="18">
        <v>224</v>
      </c>
      <c r="I392" s="18"/>
      <c r="J392" s="24" t="s">
        <v>286</v>
      </c>
      <c r="K392" s="24" t="s">
        <v>286</v>
      </c>
      <c r="L392" s="56">
        <f t="shared" si="25"/>
        <v>10224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60000</v>
      </c>
      <c r="H393" s="139">
        <f>SUM(H387:H392)</f>
        <v>3743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63743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>
        <v>45</v>
      </c>
      <c r="I395" s="18"/>
      <c r="J395" s="24" t="s">
        <v>286</v>
      </c>
      <c r="K395" s="24" t="s">
        <v>286</v>
      </c>
      <c r="L395" s="56">
        <f t="shared" ref="L395:L400" si="26">SUM(F395:K395)</f>
        <v>45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135</v>
      </c>
      <c r="I397" s="18"/>
      <c r="J397" s="24" t="s">
        <v>286</v>
      </c>
      <c r="K397" s="24" t="s">
        <v>286</v>
      </c>
      <c r="L397" s="56">
        <f t="shared" si="26"/>
        <v>135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180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180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60000</v>
      </c>
      <c r="H408" s="47">
        <f>H393+H401+H407</f>
        <v>3923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63923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283038</v>
      </c>
      <c r="G440" s="18">
        <f>548095-F440</f>
        <v>265057</v>
      </c>
      <c r="H440" s="18"/>
      <c r="I440" s="56">
        <f t="shared" si="33"/>
        <v>548095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283038</v>
      </c>
      <c r="G446" s="13">
        <f>SUM(G439:G445)</f>
        <v>265057</v>
      </c>
      <c r="H446" s="13">
        <f>SUM(H439:H445)</f>
        <v>0</v>
      </c>
      <c r="I446" s="13">
        <f>SUM(I439:I445)</f>
        <v>548095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f>F440</f>
        <v>283038</v>
      </c>
      <c r="G459" s="18">
        <f>G440</f>
        <v>265057</v>
      </c>
      <c r="H459" s="18"/>
      <c r="I459" s="56">
        <f t="shared" si="34"/>
        <v>548095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283038</v>
      </c>
      <c r="G460" s="83">
        <f>SUM(G454:G459)</f>
        <v>265057</v>
      </c>
      <c r="H460" s="83">
        <f>SUM(H454:H459)</f>
        <v>0</v>
      </c>
      <c r="I460" s="83">
        <f>SUM(I454:I459)</f>
        <v>548095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283038</v>
      </c>
      <c r="G461" s="42">
        <f>G452+G460</f>
        <v>265057</v>
      </c>
      <c r="H461" s="42">
        <f>H452+H460</f>
        <v>0</v>
      </c>
      <c r="I461" s="42">
        <f>I452+I460</f>
        <v>548095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1028712</v>
      </c>
      <c r="G465" s="18">
        <v>0</v>
      </c>
      <c r="H465" s="18">
        <v>0</v>
      </c>
      <c r="I465" s="18">
        <v>0</v>
      </c>
      <c r="J465" s="18">
        <v>484172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17640693</v>
      </c>
      <c r="G468" s="18">
        <v>412066</v>
      </c>
      <c r="H468" s="18">
        <v>511327</v>
      </c>
      <c r="I468" s="18">
        <v>2165767</v>
      </c>
      <c r="J468" s="18">
        <f>3923+60000</f>
        <v>63923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>
        <v>0</v>
      </c>
      <c r="G469" s="18">
        <v>0</v>
      </c>
      <c r="H469" s="18">
        <v>0</v>
      </c>
      <c r="I469" s="18">
        <v>0</v>
      </c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17640693</v>
      </c>
      <c r="G470" s="53">
        <f>SUM(G468:G469)</f>
        <v>412066</v>
      </c>
      <c r="H470" s="53">
        <f>SUM(H468:H469)</f>
        <v>511327</v>
      </c>
      <c r="I470" s="53">
        <f>SUM(I468:I469)</f>
        <v>2165767</v>
      </c>
      <c r="J470" s="53">
        <f>SUM(J468:J469)</f>
        <v>63923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17758463</v>
      </c>
      <c r="G472" s="18">
        <v>412066</v>
      </c>
      <c r="H472" s="18">
        <v>511327</v>
      </c>
      <c r="I472" s="18">
        <v>1325434</v>
      </c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17758463</v>
      </c>
      <c r="G474" s="53">
        <f>SUM(G472:G473)</f>
        <v>412066</v>
      </c>
      <c r="H474" s="53">
        <f>SUM(H472:H473)</f>
        <v>511327</v>
      </c>
      <c r="I474" s="53">
        <f>SUM(I472:I473)</f>
        <v>1325434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910942</v>
      </c>
      <c r="G476" s="53">
        <f>(G465+G470)- G474</f>
        <v>0</v>
      </c>
      <c r="H476" s="53">
        <f>(H465+H470)- H474</f>
        <v>0</v>
      </c>
      <c r="I476" s="53">
        <f>(I465+I470)- I474</f>
        <v>840333</v>
      </c>
      <c r="J476" s="53">
        <f>(J465+J470)- J474</f>
        <v>548095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10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4745000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275" t="s">
        <v>915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540000</v>
      </c>
      <c r="G495" s="18"/>
      <c r="H495" s="18"/>
      <c r="I495" s="18"/>
      <c r="J495" s="18"/>
      <c r="K495" s="53">
        <f>SUM(F495:J495)</f>
        <v>540000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540000</v>
      </c>
      <c r="G497" s="18"/>
      <c r="H497" s="18"/>
      <c r="I497" s="18"/>
      <c r="J497" s="18"/>
      <c r="K497" s="53">
        <f t="shared" si="35"/>
        <v>540000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0</v>
      </c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0</v>
      </c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0</v>
      </c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0</v>
      </c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>
        <v>100722</v>
      </c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>
        <v>49270</v>
      </c>
      <c r="G511" s="24" t="s">
        <v>286</v>
      </c>
      <c r="H511" s="18">
        <v>49270</v>
      </c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>
        <v>589377</v>
      </c>
      <c r="G512" s="24" t="s">
        <v>286</v>
      </c>
      <c r="H512" s="18">
        <v>589377</v>
      </c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>
        <v>16850806</v>
      </c>
      <c r="G513" s="24" t="s">
        <v>286</v>
      </c>
      <c r="H513" s="18">
        <v>16850806</v>
      </c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>
        <v>830347</v>
      </c>
      <c r="G514" s="24" t="s">
        <v>286</v>
      </c>
      <c r="H514" s="18">
        <f>19667779-18814887</f>
        <v>852892</v>
      </c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>
        <v>0</v>
      </c>
      <c r="G515" s="24" t="s">
        <v>286</v>
      </c>
      <c r="H515" s="18">
        <v>1325434</v>
      </c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>
        <v>18319800</v>
      </c>
      <c r="H516" s="24" t="s">
        <v>286</v>
      </c>
      <c r="I516" s="18">
        <f>1325434+18342345</f>
        <v>19667779</v>
      </c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18319800</v>
      </c>
      <c r="G517" s="42">
        <f>SUM(G511:G516)</f>
        <v>18319800</v>
      </c>
      <c r="H517" s="42">
        <f>SUM(H511:H516)</f>
        <v>19667779</v>
      </c>
      <c r="I517" s="42">
        <f>SUM(I511:I516)</f>
        <v>19667779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 t="shared" ref="F521:K521" si="36">F198+F277</f>
        <v>1277760</v>
      </c>
      <c r="G521" s="18">
        <f t="shared" si="36"/>
        <v>494955</v>
      </c>
      <c r="H521" s="18">
        <f t="shared" si="36"/>
        <v>162822</v>
      </c>
      <c r="I521" s="18">
        <f t="shared" si="36"/>
        <v>15876</v>
      </c>
      <c r="J521" s="18">
        <f t="shared" si="36"/>
        <v>6354</v>
      </c>
      <c r="K521" s="18">
        <f t="shared" si="36"/>
        <v>0</v>
      </c>
      <c r="L521" s="88">
        <f>SUM(F521:K521)</f>
        <v>1957767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f t="shared" ref="F522:K522" si="37">F216+F296</f>
        <v>351868</v>
      </c>
      <c r="G522" s="18">
        <f t="shared" si="37"/>
        <v>171748</v>
      </c>
      <c r="H522" s="18">
        <f t="shared" si="37"/>
        <v>58778</v>
      </c>
      <c r="I522" s="18">
        <f t="shared" si="37"/>
        <v>4765</v>
      </c>
      <c r="J522" s="18">
        <f t="shared" si="37"/>
        <v>2418</v>
      </c>
      <c r="K522" s="18">
        <f t="shared" si="37"/>
        <v>0</v>
      </c>
      <c r="L522" s="88">
        <f>SUM(F522:K522)</f>
        <v>589577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f t="shared" ref="F523:K523" si="38">F234+F315</f>
        <v>441789</v>
      </c>
      <c r="G523" s="18">
        <f t="shared" si="38"/>
        <v>192692</v>
      </c>
      <c r="H523" s="18">
        <f t="shared" si="38"/>
        <v>427912</v>
      </c>
      <c r="I523" s="18">
        <f t="shared" si="38"/>
        <v>7192</v>
      </c>
      <c r="J523" s="18">
        <f t="shared" si="38"/>
        <v>3030</v>
      </c>
      <c r="K523" s="18">
        <f t="shared" si="38"/>
        <v>0</v>
      </c>
      <c r="L523" s="88">
        <f>SUM(F523:K523)</f>
        <v>1072615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2071417</v>
      </c>
      <c r="G524" s="108">
        <f t="shared" ref="G524:L524" si="39">SUM(G521:G523)</f>
        <v>859395</v>
      </c>
      <c r="H524" s="108">
        <f t="shared" si="39"/>
        <v>649512</v>
      </c>
      <c r="I524" s="108">
        <f t="shared" si="39"/>
        <v>27833</v>
      </c>
      <c r="J524" s="108">
        <f t="shared" si="39"/>
        <v>11802</v>
      </c>
      <c r="K524" s="108">
        <f t="shared" si="39"/>
        <v>0</v>
      </c>
      <c r="L524" s="89">
        <f t="shared" si="39"/>
        <v>3619959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419204</v>
      </c>
      <c r="G526" s="18">
        <v>187398</v>
      </c>
      <c r="H526" s="18">
        <v>46046</v>
      </c>
      <c r="I526" s="18">
        <f>346+1901+957+144</f>
        <v>3348</v>
      </c>
      <c r="J526" s="18">
        <v>559</v>
      </c>
      <c r="K526" s="18"/>
      <c r="L526" s="88">
        <f>SUM(F526:K526)</f>
        <v>656555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86854</v>
      </c>
      <c r="G527" s="18">
        <v>33163</v>
      </c>
      <c r="H527" s="18">
        <v>16024</v>
      </c>
      <c r="I527" s="18">
        <f>352+661+4+50</f>
        <v>1067</v>
      </c>
      <c r="J527" s="18">
        <v>284</v>
      </c>
      <c r="K527" s="18"/>
      <c r="L527" s="88">
        <f>SUM(F527:K527)</f>
        <v>137392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213462</v>
      </c>
      <c r="G528" s="18">
        <v>88622</v>
      </c>
      <c r="H528" s="18">
        <v>26351</v>
      </c>
      <c r="I528" s="18">
        <f>2783+1088+6+82</f>
        <v>3959</v>
      </c>
      <c r="J528" s="18">
        <v>466</v>
      </c>
      <c r="K528" s="18"/>
      <c r="L528" s="88">
        <f>SUM(F528:K528)</f>
        <v>332860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719520</v>
      </c>
      <c r="G529" s="89">
        <f t="shared" ref="G529:L529" si="40">SUM(G526:G528)</f>
        <v>309183</v>
      </c>
      <c r="H529" s="89">
        <f t="shared" si="40"/>
        <v>88421</v>
      </c>
      <c r="I529" s="89">
        <f t="shared" si="40"/>
        <v>8374</v>
      </c>
      <c r="J529" s="89">
        <f t="shared" si="40"/>
        <v>1309</v>
      </c>
      <c r="K529" s="89">
        <f t="shared" si="40"/>
        <v>0</v>
      </c>
      <c r="L529" s="89">
        <f t="shared" si="40"/>
        <v>1126807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76215</v>
      </c>
      <c r="G531" s="18">
        <v>29796</v>
      </c>
      <c r="H531" s="18"/>
      <c r="I531" s="18">
        <v>807</v>
      </c>
      <c r="J531" s="18"/>
      <c r="K531" s="18"/>
      <c r="L531" s="88">
        <f>SUM(F531:K531)</f>
        <v>106818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26522</v>
      </c>
      <c r="G532" s="18">
        <v>10369</v>
      </c>
      <c r="H532" s="18"/>
      <c r="I532" s="18">
        <v>281</v>
      </c>
      <c r="J532" s="18"/>
      <c r="K532" s="18"/>
      <c r="L532" s="88">
        <f>SUM(F532:K532)</f>
        <v>37172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43615</v>
      </c>
      <c r="G533" s="18">
        <v>17051</v>
      </c>
      <c r="H533" s="18"/>
      <c r="I533" s="18">
        <v>462</v>
      </c>
      <c r="J533" s="18"/>
      <c r="K533" s="18"/>
      <c r="L533" s="88">
        <f>SUM(F533:K533)</f>
        <v>61128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146352</v>
      </c>
      <c r="G534" s="89">
        <f t="shared" ref="G534:L534" si="41">SUM(G531:G533)</f>
        <v>57216</v>
      </c>
      <c r="H534" s="89">
        <f t="shared" si="41"/>
        <v>0</v>
      </c>
      <c r="I534" s="89">
        <f t="shared" si="41"/>
        <v>1550</v>
      </c>
      <c r="J534" s="89">
        <f t="shared" si="41"/>
        <v>0</v>
      </c>
      <c r="K534" s="89">
        <f t="shared" si="41"/>
        <v>0</v>
      </c>
      <c r="L534" s="89">
        <f t="shared" si="41"/>
        <v>205118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3636</v>
      </c>
      <c r="I536" s="18"/>
      <c r="J536" s="18"/>
      <c r="K536" s="18"/>
      <c r="L536" s="88">
        <f>SUM(F536:K536)</f>
        <v>3636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v>1259</v>
      </c>
      <c r="I537" s="18"/>
      <c r="J537" s="18"/>
      <c r="K537" s="18"/>
      <c r="L537" s="88">
        <f>SUM(F537:K537)</f>
        <v>1259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2097</v>
      </c>
      <c r="I538" s="18"/>
      <c r="J538" s="18"/>
      <c r="K538" s="18"/>
      <c r="L538" s="88">
        <f>SUM(F538:K538)</f>
        <v>2097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42">SUM(G536:G538)</f>
        <v>0</v>
      </c>
      <c r="H539" s="89">
        <f t="shared" si="42"/>
        <v>6992</v>
      </c>
      <c r="I539" s="89">
        <f t="shared" si="42"/>
        <v>0</v>
      </c>
      <c r="J539" s="89">
        <f t="shared" si="42"/>
        <v>0</v>
      </c>
      <c r="K539" s="89">
        <f t="shared" si="42"/>
        <v>0</v>
      </c>
      <c r="L539" s="89">
        <f t="shared" si="42"/>
        <v>6992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>
        <v>17760</v>
      </c>
      <c r="G541" s="18">
        <v>13706</v>
      </c>
      <c r="H541" s="18">
        <v>2201</v>
      </c>
      <c r="I541" s="18">
        <v>2699</v>
      </c>
      <c r="J541" s="18"/>
      <c r="K541" s="18">
        <v>44</v>
      </c>
      <c r="L541" s="88">
        <f>SUM(F541:K541)</f>
        <v>36410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>
        <v>6180</v>
      </c>
      <c r="G542" s="18">
        <v>4770</v>
      </c>
      <c r="H542" s="18">
        <v>1830</v>
      </c>
      <c r="I542" s="18">
        <v>939</v>
      </c>
      <c r="J542" s="18"/>
      <c r="K542" s="18">
        <v>15</v>
      </c>
      <c r="L542" s="88">
        <f>SUM(F542:K542)</f>
        <v>13734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>
        <v>10164</v>
      </c>
      <c r="G543" s="18">
        <v>7844</v>
      </c>
      <c r="H543" s="18">
        <v>161130</v>
      </c>
      <c r="I543" s="18">
        <v>1545</v>
      </c>
      <c r="J543" s="18"/>
      <c r="K543" s="18">
        <v>25</v>
      </c>
      <c r="L543" s="88">
        <f>SUM(F543:K543)</f>
        <v>180708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34104</v>
      </c>
      <c r="G544" s="193">
        <f t="shared" ref="G544:L544" si="43">SUM(G541:G543)</f>
        <v>26320</v>
      </c>
      <c r="H544" s="193">
        <f t="shared" si="43"/>
        <v>165161</v>
      </c>
      <c r="I544" s="193">
        <f t="shared" si="43"/>
        <v>5183</v>
      </c>
      <c r="J544" s="193">
        <f t="shared" si="43"/>
        <v>0</v>
      </c>
      <c r="K544" s="193">
        <f t="shared" si="43"/>
        <v>84</v>
      </c>
      <c r="L544" s="193">
        <f t="shared" si="43"/>
        <v>230852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2971393</v>
      </c>
      <c r="G545" s="89">
        <f t="shared" ref="G545:L545" si="44">G524+G529+G534+G539+G544</f>
        <v>1252114</v>
      </c>
      <c r="H545" s="89">
        <f t="shared" si="44"/>
        <v>910086</v>
      </c>
      <c r="I545" s="89">
        <f t="shared" si="44"/>
        <v>42940</v>
      </c>
      <c r="J545" s="89">
        <f t="shared" si="44"/>
        <v>13111</v>
      </c>
      <c r="K545" s="89">
        <f t="shared" si="44"/>
        <v>84</v>
      </c>
      <c r="L545" s="89">
        <f t="shared" si="44"/>
        <v>5189728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1957767</v>
      </c>
      <c r="G549" s="87">
        <f>L526</f>
        <v>656555</v>
      </c>
      <c r="H549" s="87">
        <f>L531</f>
        <v>106818</v>
      </c>
      <c r="I549" s="87">
        <f>L536</f>
        <v>3636</v>
      </c>
      <c r="J549" s="87">
        <f>L541</f>
        <v>36410</v>
      </c>
      <c r="K549" s="87">
        <f>SUM(F549:J549)</f>
        <v>2761186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589577</v>
      </c>
      <c r="G550" s="87">
        <f>L527</f>
        <v>137392</v>
      </c>
      <c r="H550" s="87">
        <f>L532</f>
        <v>37172</v>
      </c>
      <c r="I550" s="87">
        <f>L537</f>
        <v>1259</v>
      </c>
      <c r="J550" s="87">
        <f>L542</f>
        <v>13734</v>
      </c>
      <c r="K550" s="87">
        <f>SUM(F550:J550)</f>
        <v>779134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1072615</v>
      </c>
      <c r="G551" s="87">
        <f>L528</f>
        <v>332860</v>
      </c>
      <c r="H551" s="87">
        <f>L533</f>
        <v>61128</v>
      </c>
      <c r="I551" s="87">
        <f>L538</f>
        <v>2097</v>
      </c>
      <c r="J551" s="87">
        <f>L543</f>
        <v>180708</v>
      </c>
      <c r="K551" s="87">
        <f>SUM(F551:J551)</f>
        <v>1649408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5">SUM(F549:F551)</f>
        <v>3619959</v>
      </c>
      <c r="G552" s="89">
        <f t="shared" si="45"/>
        <v>1126807</v>
      </c>
      <c r="H552" s="89">
        <f t="shared" si="45"/>
        <v>205118</v>
      </c>
      <c r="I552" s="89">
        <f t="shared" si="45"/>
        <v>6992</v>
      </c>
      <c r="J552" s="89">
        <f t="shared" si="45"/>
        <v>230852</v>
      </c>
      <c r="K552" s="89">
        <f t="shared" si="45"/>
        <v>5189728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6">SUM(F557:F559)</f>
        <v>0</v>
      </c>
      <c r="G560" s="108">
        <f t="shared" si="46"/>
        <v>0</v>
      </c>
      <c r="H560" s="108">
        <f t="shared" si="46"/>
        <v>0</v>
      </c>
      <c r="I560" s="108">
        <f t="shared" si="46"/>
        <v>0</v>
      </c>
      <c r="J560" s="108">
        <f t="shared" si="46"/>
        <v>0</v>
      </c>
      <c r="K560" s="108">
        <f t="shared" si="46"/>
        <v>0</v>
      </c>
      <c r="L560" s="89">
        <f t="shared" si="46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190</v>
      </c>
      <c r="G562" s="18">
        <f>14+22</f>
        <v>36</v>
      </c>
      <c r="H562" s="18">
        <v>528</v>
      </c>
      <c r="I562" s="18"/>
      <c r="J562" s="18"/>
      <c r="K562" s="18"/>
      <c r="L562" s="88">
        <f>SUM(F562:K562)</f>
        <v>754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7">SUM(F562:F564)</f>
        <v>190</v>
      </c>
      <c r="G565" s="89">
        <f t="shared" si="47"/>
        <v>36</v>
      </c>
      <c r="H565" s="89">
        <f t="shared" si="47"/>
        <v>528</v>
      </c>
      <c r="I565" s="89">
        <f t="shared" si="47"/>
        <v>0</v>
      </c>
      <c r="J565" s="89">
        <f t="shared" si="47"/>
        <v>0</v>
      </c>
      <c r="K565" s="89">
        <f t="shared" si="47"/>
        <v>0</v>
      </c>
      <c r="L565" s="89">
        <f t="shared" si="47"/>
        <v>754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8">SUM(G567:G569)</f>
        <v>0</v>
      </c>
      <c r="H570" s="193">
        <f t="shared" si="48"/>
        <v>0</v>
      </c>
      <c r="I570" s="193">
        <f t="shared" si="48"/>
        <v>0</v>
      </c>
      <c r="J570" s="193">
        <f t="shared" si="48"/>
        <v>0</v>
      </c>
      <c r="K570" s="193">
        <f t="shared" si="48"/>
        <v>0</v>
      </c>
      <c r="L570" s="193">
        <f t="shared" si="48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190</v>
      </c>
      <c r="G571" s="89">
        <f t="shared" ref="G571:L571" si="49">G560+G565+G570</f>
        <v>36</v>
      </c>
      <c r="H571" s="89">
        <f t="shared" si="49"/>
        <v>528</v>
      </c>
      <c r="I571" s="89">
        <f t="shared" si="49"/>
        <v>0</v>
      </c>
      <c r="J571" s="89">
        <f t="shared" si="49"/>
        <v>0</v>
      </c>
      <c r="K571" s="89">
        <f t="shared" si="49"/>
        <v>0</v>
      </c>
      <c r="L571" s="89">
        <f t="shared" si="49"/>
        <v>754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50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50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50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50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50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50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f>12720+94878</f>
        <v>107598</v>
      </c>
      <c r="G582" s="18">
        <v>31378</v>
      </c>
      <c r="H582" s="18">
        <f>464015-94878</f>
        <v>369137</v>
      </c>
      <c r="I582" s="87">
        <f t="shared" si="50"/>
        <v>508113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50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36565</v>
      </c>
      <c r="I584" s="87">
        <f t="shared" si="50"/>
        <v>36565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50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50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50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f>246528+1630+1909-252</f>
        <v>249815</v>
      </c>
      <c r="I591" s="18">
        <f>85336</f>
        <v>85336</v>
      </c>
      <c r="J591" s="18">
        <f>142229+252</f>
        <v>142481</v>
      </c>
      <c r="K591" s="104">
        <f t="shared" ref="K591:K597" si="51">SUM(H591:J591)</f>
        <v>477632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36411</v>
      </c>
      <c r="I592" s="18">
        <v>13734</v>
      </c>
      <c r="J592" s="18">
        <v>180707</v>
      </c>
      <c r="K592" s="104">
        <f t="shared" si="51"/>
        <v>230852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19693</v>
      </c>
      <c r="K593" s="104">
        <f t="shared" si="51"/>
        <v>19693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16952</v>
      </c>
      <c r="J594" s="18">
        <v>42007</v>
      </c>
      <c r="K594" s="104">
        <f t="shared" si="51"/>
        <v>58959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f>1500+1539</f>
        <v>3039</v>
      </c>
      <c r="I595" s="18">
        <f>431</f>
        <v>431</v>
      </c>
      <c r="J595" s="18">
        <f>2483</f>
        <v>2483</v>
      </c>
      <c r="K595" s="104">
        <f t="shared" si="51"/>
        <v>5953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1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1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289265</v>
      </c>
      <c r="I598" s="108">
        <f>SUM(I591:I597)</f>
        <v>116453</v>
      </c>
      <c r="J598" s="108">
        <f>SUM(J591:J597)</f>
        <v>387371</v>
      </c>
      <c r="K598" s="108">
        <f>SUM(K591:K597)</f>
        <v>793089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68079+3716+821+199+249</f>
        <v>73064</v>
      </c>
      <c r="I604" s="18">
        <f>29773+1286+1650+284+269+668</f>
        <v>33930</v>
      </c>
      <c r="J604" s="18">
        <f>58179+2144+3850+474+628+1557</f>
        <v>66832</v>
      </c>
      <c r="K604" s="104">
        <f>SUM(H604:J604)</f>
        <v>173826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73064</v>
      </c>
      <c r="I605" s="108">
        <f>SUM(I602:I604)</f>
        <v>33930</v>
      </c>
      <c r="J605" s="108">
        <f>SUM(J602:J604)</f>
        <v>66832</v>
      </c>
      <c r="K605" s="108">
        <f>SUM(K602:K604)</f>
        <v>173826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52">SUM(F611:F613)</f>
        <v>0</v>
      </c>
      <c r="G614" s="108">
        <f t="shared" si="52"/>
        <v>0</v>
      </c>
      <c r="H614" s="108">
        <f t="shared" si="52"/>
        <v>0</v>
      </c>
      <c r="I614" s="108">
        <f t="shared" si="52"/>
        <v>0</v>
      </c>
      <c r="J614" s="108">
        <f t="shared" si="52"/>
        <v>0</v>
      </c>
      <c r="K614" s="108">
        <f t="shared" si="52"/>
        <v>0</v>
      </c>
      <c r="L614" s="89">
        <f t="shared" si="52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1104761</v>
      </c>
      <c r="H617" s="109">
        <f>SUM(F52)</f>
        <v>1104761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15199</v>
      </c>
      <c r="H618" s="109">
        <f>SUM(G52)</f>
        <v>15199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98159</v>
      </c>
      <c r="H619" s="109">
        <f>SUM(H52)</f>
        <v>98159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1741676</v>
      </c>
      <c r="H620" s="109">
        <f>SUM(I52)</f>
        <v>1741676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548095</v>
      </c>
      <c r="H621" s="109">
        <f>SUM(J52)</f>
        <v>548095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910942</v>
      </c>
      <c r="H622" s="109">
        <f>F476</f>
        <v>910942</v>
      </c>
      <c r="I622" s="121" t="s">
        <v>101</v>
      </c>
      <c r="J622" s="109">
        <f t="shared" ref="J622:J655" si="53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3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3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840333</v>
      </c>
      <c r="H625" s="109">
        <f>I476</f>
        <v>840333</v>
      </c>
      <c r="I625" s="121" t="s">
        <v>104</v>
      </c>
      <c r="J625" s="109">
        <f t="shared" si="53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548095</v>
      </c>
      <c r="H626" s="109">
        <f>J476</f>
        <v>548095</v>
      </c>
      <c r="I626" s="140" t="s">
        <v>105</v>
      </c>
      <c r="J626" s="109">
        <f t="shared" si="53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17640693</v>
      </c>
      <c r="H627" s="104">
        <f>SUM(F468)</f>
        <v>17640693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412066</v>
      </c>
      <c r="H628" s="104">
        <f>SUM(G468)</f>
        <v>412066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511327</v>
      </c>
      <c r="H629" s="104">
        <f>SUM(H468)</f>
        <v>511327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2165767</v>
      </c>
      <c r="H630" s="104">
        <f>SUM(I468)</f>
        <v>2165767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63923</v>
      </c>
      <c r="H631" s="104">
        <f>SUM(J468)</f>
        <v>63923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17758463</v>
      </c>
      <c r="H632" s="104">
        <f>SUM(F472)</f>
        <v>17758463</v>
      </c>
      <c r="I632" s="140" t="s">
        <v>111</v>
      </c>
      <c r="J632" s="109">
        <f t="shared" si="53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511327</v>
      </c>
      <c r="H633" s="104">
        <f>SUM(H472)</f>
        <v>511327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163964</v>
      </c>
      <c r="H634" s="104">
        <f>I369</f>
        <v>163964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412066</v>
      </c>
      <c r="H635" s="104">
        <f>SUM(G472)</f>
        <v>412066</v>
      </c>
      <c r="I635" s="140" t="s">
        <v>114</v>
      </c>
      <c r="J635" s="109">
        <f t="shared" si="53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1325434</v>
      </c>
      <c r="H636" s="104">
        <f>SUM(I472)</f>
        <v>1325434</v>
      </c>
      <c r="I636" s="140" t="s">
        <v>116</v>
      </c>
      <c r="J636" s="109">
        <f t="shared" si="53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63923</v>
      </c>
      <c r="H637" s="164">
        <f>SUM(J468)</f>
        <v>63923</v>
      </c>
      <c r="I637" s="165" t="s">
        <v>110</v>
      </c>
      <c r="J637" s="151">
        <f t="shared" si="53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3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283038</v>
      </c>
      <c r="H639" s="104">
        <f>SUM(F461)</f>
        <v>283038</v>
      </c>
      <c r="I639" s="140" t="s">
        <v>851</v>
      </c>
      <c r="J639" s="109">
        <f t="shared" si="53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265057</v>
      </c>
      <c r="H640" s="104">
        <f>SUM(G461)</f>
        <v>265057</v>
      </c>
      <c r="I640" s="140" t="s">
        <v>852</v>
      </c>
      <c r="J640" s="109">
        <f t="shared" si="53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3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548095</v>
      </c>
      <c r="H642" s="104">
        <f>SUM(I461)</f>
        <v>548095</v>
      </c>
      <c r="I642" s="140" t="s">
        <v>854</v>
      </c>
      <c r="J642" s="109">
        <f t="shared" si="53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3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3923</v>
      </c>
      <c r="H644" s="104">
        <f>H408</f>
        <v>3923</v>
      </c>
      <c r="I644" s="140" t="s">
        <v>478</v>
      </c>
      <c r="J644" s="109">
        <f t="shared" si="53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60000</v>
      </c>
      <c r="H645" s="104">
        <f>G408</f>
        <v>60000</v>
      </c>
      <c r="I645" s="140" t="s">
        <v>479</v>
      </c>
      <c r="J645" s="109">
        <f t="shared" si="53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63923</v>
      </c>
      <c r="H646" s="104">
        <f>L408</f>
        <v>63923</v>
      </c>
      <c r="I646" s="140" t="s">
        <v>475</v>
      </c>
      <c r="J646" s="109">
        <f t="shared" si="53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793089</v>
      </c>
      <c r="H647" s="104">
        <f>L208+L226+L244</f>
        <v>793089</v>
      </c>
      <c r="I647" s="140" t="s">
        <v>394</v>
      </c>
      <c r="J647" s="109">
        <f t="shared" si="53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173826</v>
      </c>
      <c r="H648" s="104">
        <f>(J257+J338)-(J255+J336)</f>
        <v>173826</v>
      </c>
      <c r="I648" s="140" t="s">
        <v>697</v>
      </c>
      <c r="J648" s="109">
        <f t="shared" si="53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289265</v>
      </c>
      <c r="H649" s="104">
        <f>H598</f>
        <v>289265</v>
      </c>
      <c r="I649" s="140" t="s">
        <v>386</v>
      </c>
      <c r="J649" s="109">
        <f t="shared" si="53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116453</v>
      </c>
      <c r="H650" s="104">
        <f>I598</f>
        <v>116453</v>
      </c>
      <c r="I650" s="140" t="s">
        <v>387</v>
      </c>
      <c r="J650" s="109">
        <f t="shared" si="53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387371</v>
      </c>
      <c r="H651" s="104">
        <f>J598</f>
        <v>387371</v>
      </c>
      <c r="I651" s="140" t="s">
        <v>388</v>
      </c>
      <c r="J651" s="109">
        <f t="shared" si="53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98237</v>
      </c>
      <c r="H652" s="104">
        <f>K263+K345</f>
        <v>98237</v>
      </c>
      <c r="I652" s="140" t="s">
        <v>395</v>
      </c>
      <c r="J652" s="109">
        <f t="shared" si="53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3061</v>
      </c>
      <c r="H653" s="104">
        <f>K264</f>
        <v>3061</v>
      </c>
      <c r="I653" s="140" t="s">
        <v>396</v>
      </c>
      <c r="J653" s="109">
        <f t="shared" si="53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3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60000</v>
      </c>
      <c r="H655" s="104">
        <f>K266+K347</f>
        <v>60000</v>
      </c>
      <c r="I655" s="140" t="s">
        <v>398</v>
      </c>
      <c r="J655" s="109">
        <f t="shared" si="53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8935370</v>
      </c>
      <c r="G660" s="19">
        <f>(L229+L309+L359)</f>
        <v>2866984</v>
      </c>
      <c r="H660" s="19">
        <f>(L247+L328+L360)</f>
        <v>6153588</v>
      </c>
      <c r="I660" s="19">
        <f>SUM(F660:H660)</f>
        <v>17955942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121949.02133153427</v>
      </c>
      <c r="G661" s="19">
        <f>(L359/IF(SUM(L358:L360)=0,1,SUM(L358:L360))*(SUM(G97:G110)))</f>
        <v>33986.605825280414</v>
      </c>
      <c r="H661" s="19">
        <f>(L360/IF(SUM(L358:L360)=0,1,SUM(L358:L360))*(SUM(G97:G110)))</f>
        <v>73676.372843185309</v>
      </c>
      <c r="I661" s="19">
        <f>SUM(F661:H661)</f>
        <v>229612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289265</v>
      </c>
      <c r="G662" s="19">
        <f>(L226+L306)-(J226+J306)</f>
        <v>117722</v>
      </c>
      <c r="H662" s="19">
        <f>(L244+L325)-(J244+J325)</f>
        <v>390331</v>
      </c>
      <c r="I662" s="19">
        <f>SUM(F662:H662)</f>
        <v>797318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180662</v>
      </c>
      <c r="G663" s="199">
        <f>SUM(G575:G587)+SUM(I602:I604)+L612</f>
        <v>65308</v>
      </c>
      <c r="H663" s="199">
        <f>SUM(H575:H587)+SUM(J602:J604)+L613</f>
        <v>472534</v>
      </c>
      <c r="I663" s="19">
        <f>SUM(F663:H663)</f>
        <v>718504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8343493.9786684662</v>
      </c>
      <c r="G664" s="19">
        <f>G660-SUM(G661:G663)</f>
        <v>2649967.3941747197</v>
      </c>
      <c r="H664" s="19">
        <f>H660-SUM(H661:H663)</f>
        <v>5217046.6271568146</v>
      </c>
      <c r="I664" s="19">
        <f>I660-SUM(I661:I663)</f>
        <v>16210508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f>276.95+214.76</f>
        <v>491.71</v>
      </c>
      <c r="G665" s="248">
        <v>171.11</v>
      </c>
      <c r="H665" s="248">
        <v>281.38</v>
      </c>
      <c r="I665" s="19">
        <f>SUM(F665:H665)</f>
        <v>944.19999999999993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16968.32</v>
      </c>
      <c r="G667" s="19">
        <f>ROUND(G664/G665,2)</f>
        <v>15486.92</v>
      </c>
      <c r="H667" s="19">
        <f>ROUND(H664/H665,2)</f>
        <v>18540.93</v>
      </c>
      <c r="I667" s="19">
        <f>ROUND(I664/I665,2)</f>
        <v>17168.509999999998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-5.33</v>
      </c>
      <c r="I670" s="19">
        <f>SUM(F670:H670)</f>
        <v>-5.33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16968.32</v>
      </c>
      <c r="G672" s="19">
        <f>ROUND((G664+G669)/(G665+G670),2)</f>
        <v>15486.92</v>
      </c>
      <c r="H672" s="19">
        <f>ROUND((H664+H669)/(H665+H670),2)</f>
        <v>18898.919999999998</v>
      </c>
      <c r="I672" s="19">
        <f>ROUND((I664+I669)/(I665+I670),2)</f>
        <v>17265.98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horizontalDpi="4294967295" verticalDpi="4294967295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8" sqref="B1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HOPKINTON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9" t="s">
        <v>778</v>
      </c>
      <c r="B3" s="279"/>
      <c r="C3" s="279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777</v>
      </c>
      <c r="C6" s="278"/>
    </row>
    <row r="7" spans="1:3" x14ac:dyDescent="0.2">
      <c r="A7" s="239" t="s">
        <v>780</v>
      </c>
      <c r="B7" s="276" t="s">
        <v>776</v>
      </c>
      <c r="C7" s="277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4750575</v>
      </c>
      <c r="C9" s="229">
        <f>'DOE25'!G197+'DOE25'!G215+'DOE25'!G233+'DOE25'!G276+'DOE25'!G295+'DOE25'!G314</f>
        <v>2309820</v>
      </c>
    </row>
    <row r="10" spans="1:3" x14ac:dyDescent="0.2">
      <c r="A10" t="s">
        <v>773</v>
      </c>
      <c r="B10" s="240">
        <v>4698968</v>
      </c>
      <c r="C10" s="240">
        <v>2267997</v>
      </c>
    </row>
    <row r="11" spans="1:3" x14ac:dyDescent="0.2">
      <c r="A11" t="s">
        <v>774</v>
      </c>
      <c r="B11" s="240">
        <v>25785</v>
      </c>
      <c r="C11" s="240">
        <v>13987</v>
      </c>
    </row>
    <row r="12" spans="1:3" x14ac:dyDescent="0.2">
      <c r="A12" t="s">
        <v>775</v>
      </c>
      <c r="B12" s="240">
        <v>25822</v>
      </c>
      <c r="C12" s="240">
        <v>27836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4750575</v>
      </c>
      <c r="C13" s="231">
        <f>SUM(C10:C12)</f>
        <v>2309820</v>
      </c>
    </row>
    <row r="14" spans="1:3" x14ac:dyDescent="0.2">
      <c r="B14" s="230"/>
      <c r="C14" s="230"/>
    </row>
    <row r="15" spans="1:3" x14ac:dyDescent="0.2">
      <c r="B15" s="278" t="s">
        <v>777</v>
      </c>
      <c r="C15" s="278"/>
    </row>
    <row r="16" spans="1:3" x14ac:dyDescent="0.2">
      <c r="A16" s="239" t="s">
        <v>781</v>
      </c>
      <c r="B16" s="276" t="s">
        <v>701</v>
      </c>
      <c r="C16" s="277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2071417</v>
      </c>
      <c r="C18" s="229">
        <f>'DOE25'!G198+'DOE25'!G216+'DOE25'!G234+'DOE25'!G277+'DOE25'!G296+'DOE25'!G315</f>
        <v>859395</v>
      </c>
    </row>
    <row r="19" spans="1:3" x14ac:dyDescent="0.2">
      <c r="A19" t="s">
        <v>773</v>
      </c>
      <c r="B19" s="240">
        <v>1136612</v>
      </c>
      <c r="C19" s="240">
        <v>565875</v>
      </c>
    </row>
    <row r="20" spans="1:3" x14ac:dyDescent="0.2">
      <c r="A20" t="s">
        <v>774</v>
      </c>
      <c r="B20" s="240">
        <v>934805</v>
      </c>
      <c r="C20" s="240">
        <v>293520</v>
      </c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2071417</v>
      </c>
      <c r="C22" s="231">
        <f>SUM(C19:C21)</f>
        <v>859395</v>
      </c>
    </row>
    <row r="23" spans="1:3" x14ac:dyDescent="0.2">
      <c r="B23" s="230"/>
      <c r="C23" s="230"/>
    </row>
    <row r="24" spans="1:3" x14ac:dyDescent="0.2">
      <c r="B24" s="278" t="s">
        <v>777</v>
      </c>
      <c r="C24" s="278"/>
    </row>
    <row r="25" spans="1:3" x14ac:dyDescent="0.2">
      <c r="A25" s="239" t="s">
        <v>782</v>
      </c>
      <c r="B25" s="276" t="s">
        <v>702</v>
      </c>
      <c r="C25" s="277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777</v>
      </c>
      <c r="C33" s="278"/>
    </row>
    <row r="34" spans="1:3" x14ac:dyDescent="0.2">
      <c r="A34" s="239" t="s">
        <v>783</v>
      </c>
      <c r="B34" s="276" t="s">
        <v>703</v>
      </c>
      <c r="C34" s="277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231867</v>
      </c>
      <c r="C36" s="235">
        <f>'DOE25'!G200+'DOE25'!G218+'DOE25'!G236+'DOE25'!G279+'DOE25'!G298+'DOE25'!G317</f>
        <v>38579</v>
      </c>
    </row>
    <row r="37" spans="1:3" x14ac:dyDescent="0.2">
      <c r="A37" t="s">
        <v>773</v>
      </c>
      <c r="B37" s="240">
        <v>175431</v>
      </c>
      <c r="C37" s="240">
        <v>24470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56436</v>
      </c>
      <c r="C39" s="240">
        <v>14109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231867</v>
      </c>
      <c r="C40" s="231">
        <f>SUM(C37:C39)</f>
        <v>38579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784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711</v>
      </c>
      <c r="B2" s="265" t="str">
        <f>'DOE25'!A2</f>
        <v>HOPKINTON SCHOOL DISTRICT</v>
      </c>
      <c r="C2" s="181"/>
      <c r="D2" s="181" t="s">
        <v>786</v>
      </c>
      <c r="E2" s="181" t="s">
        <v>788</v>
      </c>
      <c r="F2" s="280" t="s">
        <v>815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10987514</v>
      </c>
      <c r="D5" s="20">
        <f>SUM('DOE25'!L197:L200)+SUM('DOE25'!L215:L218)+SUM('DOE25'!L233:L236)-F5-G5</f>
        <v>10929731</v>
      </c>
      <c r="E5" s="243"/>
      <c r="F5" s="255">
        <f>SUM('DOE25'!J197:J200)+SUM('DOE25'!J215:J218)+SUM('DOE25'!J233:J236)</f>
        <v>42898</v>
      </c>
      <c r="G5" s="53">
        <f>SUM('DOE25'!K197:K200)+SUM('DOE25'!K215:K218)+SUM('DOE25'!K233:K236)</f>
        <v>14885</v>
      </c>
      <c r="H5" s="259"/>
    </row>
    <row r="6" spans="1:9" x14ac:dyDescent="0.2">
      <c r="A6" s="32">
        <v>2100</v>
      </c>
      <c r="B6" t="s">
        <v>795</v>
      </c>
      <c r="C6" s="245">
        <f t="shared" si="0"/>
        <v>1454583</v>
      </c>
      <c r="D6" s="20">
        <f>'DOE25'!L202+'DOE25'!L220+'DOE25'!L238-F6-G6</f>
        <v>1450570</v>
      </c>
      <c r="E6" s="243"/>
      <c r="F6" s="255">
        <f>'DOE25'!J202+'DOE25'!J220+'DOE25'!J238</f>
        <v>2378</v>
      </c>
      <c r="G6" s="53">
        <f>'DOE25'!K202+'DOE25'!K220+'DOE25'!K238</f>
        <v>1635</v>
      </c>
      <c r="H6" s="259"/>
    </row>
    <row r="7" spans="1:9" x14ac:dyDescent="0.2">
      <c r="A7" s="32">
        <v>2200</v>
      </c>
      <c r="B7" t="s">
        <v>828</v>
      </c>
      <c r="C7" s="245">
        <f t="shared" si="0"/>
        <v>709899</v>
      </c>
      <c r="D7" s="20">
        <f>'DOE25'!L203+'DOE25'!L221+'DOE25'!L239-F7-G7</f>
        <v>596959</v>
      </c>
      <c r="E7" s="243"/>
      <c r="F7" s="255">
        <f>'DOE25'!J203+'DOE25'!J221+'DOE25'!J239</f>
        <v>91357</v>
      </c>
      <c r="G7" s="53">
        <f>'DOE25'!K203+'DOE25'!K221+'DOE25'!K239</f>
        <v>21583</v>
      </c>
      <c r="H7" s="259"/>
    </row>
    <row r="8" spans="1:9" x14ac:dyDescent="0.2">
      <c r="A8" s="32">
        <v>2300</v>
      </c>
      <c r="B8" t="s">
        <v>796</v>
      </c>
      <c r="C8" s="245">
        <f t="shared" si="0"/>
        <v>224710</v>
      </c>
      <c r="D8" s="243"/>
      <c r="E8" s="20">
        <f>'DOE25'!L204+'DOE25'!L222+'DOE25'!L240-F8-G8-D9-D11</f>
        <v>205045</v>
      </c>
      <c r="F8" s="255">
        <f>'DOE25'!J204+'DOE25'!J222+'DOE25'!J240</f>
        <v>88</v>
      </c>
      <c r="G8" s="53">
        <f>'DOE25'!K204+'DOE25'!K222+'DOE25'!K240</f>
        <v>19577</v>
      </c>
      <c r="H8" s="259"/>
    </row>
    <row r="9" spans="1:9" x14ac:dyDescent="0.2">
      <c r="A9" s="32">
        <v>2310</v>
      </c>
      <c r="B9" t="s">
        <v>812</v>
      </c>
      <c r="C9" s="245">
        <f t="shared" si="0"/>
        <v>36923</v>
      </c>
      <c r="D9" s="244">
        <v>36923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12600</v>
      </c>
      <c r="D10" s="243"/>
      <c r="E10" s="244">
        <v>12600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323848</v>
      </c>
      <c r="D11" s="244">
        <v>323848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846897</v>
      </c>
      <c r="D12" s="20">
        <f>'DOE25'!L205+'DOE25'!L223+'DOE25'!L241-F12-G12</f>
        <v>842076</v>
      </c>
      <c r="E12" s="243"/>
      <c r="F12" s="255">
        <f>'DOE25'!J205+'DOE25'!J223+'DOE25'!J241</f>
        <v>275</v>
      </c>
      <c r="G12" s="53">
        <f>'DOE25'!K205+'DOE25'!K223+'DOE25'!K241</f>
        <v>4546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306783</v>
      </c>
      <c r="D13" s="243"/>
      <c r="E13" s="20">
        <f>'DOE25'!L206+'DOE25'!L224+'DOE25'!L242-F13-G13</f>
        <v>306783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1120425</v>
      </c>
      <c r="D14" s="20">
        <f>'DOE25'!L207+'DOE25'!L225+'DOE25'!L243-F14-G14</f>
        <v>1108846</v>
      </c>
      <c r="E14" s="243"/>
      <c r="F14" s="255">
        <f>'DOE25'!J207+'DOE25'!J225+'DOE25'!J243</f>
        <v>11579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793089</v>
      </c>
      <c r="D15" s="20">
        <f>'DOE25'!L208+'DOE25'!L226+'DOE25'!L244-F15-G15</f>
        <v>793005</v>
      </c>
      <c r="E15" s="243"/>
      <c r="F15" s="255">
        <f>'DOE25'!J208+'DOE25'!J226+'DOE25'!J244</f>
        <v>0</v>
      </c>
      <c r="G15" s="53">
        <f>'DOE25'!K208+'DOE25'!K226+'DOE25'!K244</f>
        <v>84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236794</v>
      </c>
      <c r="D16" s="243"/>
      <c r="E16" s="20">
        <f>'DOE25'!L209+'DOE25'!L227+'DOE25'!L245-F16-G16</f>
        <v>216105</v>
      </c>
      <c r="F16" s="255">
        <f>'DOE25'!J209+'DOE25'!J227+'DOE25'!J245</f>
        <v>7456</v>
      </c>
      <c r="G16" s="53">
        <f>'DOE25'!K209+'DOE25'!K227+'DOE25'!K245</f>
        <v>13233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2200</v>
      </c>
      <c r="D22" s="243"/>
      <c r="E22" s="243"/>
      <c r="F22" s="255">
        <f>'DOE25'!L255+'DOE25'!L336</f>
        <v>2200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553500</v>
      </c>
      <c r="D25" s="243"/>
      <c r="E25" s="243"/>
      <c r="F25" s="258"/>
      <c r="G25" s="256"/>
      <c r="H25" s="257">
        <f>'DOE25'!L260+'DOE25'!L261+'DOE25'!L341+'DOE25'!L342</f>
        <v>553500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258102</v>
      </c>
      <c r="D29" s="20">
        <f>'DOE25'!L358+'DOE25'!L359+'DOE25'!L360-'DOE25'!I367-F29-G29</f>
        <v>248026</v>
      </c>
      <c r="E29" s="243"/>
      <c r="F29" s="255">
        <f>'DOE25'!J358+'DOE25'!J359+'DOE25'!J360</f>
        <v>9368</v>
      </c>
      <c r="G29" s="53">
        <f>'DOE25'!K358+'DOE25'!K359+'DOE25'!K360</f>
        <v>708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510230</v>
      </c>
      <c r="D31" s="20">
        <f>'DOE25'!L290+'DOE25'!L309+'DOE25'!L328+'DOE25'!L333+'DOE25'!L334+'DOE25'!L335-F31-G31</f>
        <v>474563</v>
      </c>
      <c r="E31" s="243"/>
      <c r="F31" s="255">
        <f>'DOE25'!J290+'DOE25'!J309+'DOE25'!J328+'DOE25'!J333+'DOE25'!J334+'DOE25'!J335</f>
        <v>17795</v>
      </c>
      <c r="G31" s="53">
        <f>'DOE25'!K290+'DOE25'!K309+'DOE25'!K328+'DOE25'!K333+'DOE25'!K334+'DOE25'!K335</f>
        <v>17872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16804547</v>
      </c>
      <c r="E33" s="246">
        <f>SUM(E5:E31)</f>
        <v>740533</v>
      </c>
      <c r="F33" s="246">
        <f>SUM(F5:F31)</f>
        <v>185394</v>
      </c>
      <c r="G33" s="246">
        <f>SUM(G5:G31)</f>
        <v>94123</v>
      </c>
      <c r="H33" s="246">
        <f>SUM(H5:H31)</f>
        <v>553500</v>
      </c>
    </row>
    <row r="35" spans="2:8" ht="12" thickBot="1" x14ac:dyDescent="0.25">
      <c r="B35" s="253" t="s">
        <v>841</v>
      </c>
      <c r="D35" s="254">
        <f>E33</f>
        <v>740533</v>
      </c>
      <c r="E35" s="249"/>
    </row>
    <row r="36" spans="2:8" ht="12" thickTop="1" x14ac:dyDescent="0.2">
      <c r="B36" t="s">
        <v>809</v>
      </c>
      <c r="D36" s="20">
        <f>D33</f>
        <v>16804547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8" activePane="bottomLeft" state="frozen"/>
      <selection activeCell="F46" sqref="F46"/>
      <selection pane="bottomLeft" activeCell="V3" sqref="V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HOPKINTON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1006610</v>
      </c>
      <c r="D8" s="95">
        <f>'DOE25'!G9</f>
        <v>100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1741676</v>
      </c>
      <c r="G9" s="95">
        <f>'DOE25'!J10</f>
        <v>548095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56541</v>
      </c>
      <c r="D11" s="95">
        <f>'DOE25'!G12</f>
        <v>9584</v>
      </c>
      <c r="E11" s="95">
        <f>'DOE25'!H12</f>
        <v>35948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15758</v>
      </c>
      <c r="D12" s="95">
        <f>'DOE25'!G13</f>
        <v>5256</v>
      </c>
      <c r="E12" s="95">
        <f>'DOE25'!H13</f>
        <v>61211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15165</v>
      </c>
      <c r="D13" s="95">
        <f>'DOE25'!G14</f>
        <v>259</v>
      </c>
      <c r="E13" s="95">
        <f>'DOE25'!H14</f>
        <v>1000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10687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1104761</v>
      </c>
      <c r="D18" s="41">
        <f>SUM(D8:D17)</f>
        <v>15199</v>
      </c>
      <c r="E18" s="41">
        <f>SUM(E8:E17)</f>
        <v>98159</v>
      </c>
      <c r="F18" s="41">
        <f>SUM(F8:F17)</f>
        <v>1741676</v>
      </c>
      <c r="G18" s="41">
        <f>SUM(G8:G17)</f>
        <v>548095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45532</v>
      </c>
      <c r="D21" s="95">
        <f>'DOE25'!G22</f>
        <v>0</v>
      </c>
      <c r="E21" s="95">
        <f>'DOE25'!H22</f>
        <v>56541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94295</v>
      </c>
      <c r="D23" s="95">
        <f>'DOE25'!G24</f>
        <v>1135</v>
      </c>
      <c r="E23" s="95">
        <f>'DOE25'!H24</f>
        <v>2718</v>
      </c>
      <c r="F23" s="95">
        <f>'DOE25'!I24</f>
        <v>841928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59415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51633</v>
      </c>
      <c r="D27" s="95">
        <f>'DOE25'!G28</f>
        <v>0</v>
      </c>
      <c r="E27" s="95">
        <f>'DOE25'!H28</f>
        <v>4054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2359</v>
      </c>
      <c r="D29" s="95">
        <f>'DOE25'!G30</f>
        <v>14064</v>
      </c>
      <c r="E29" s="95">
        <f>'DOE25'!H30</f>
        <v>34846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193819</v>
      </c>
      <c r="D31" s="41">
        <f>SUM(D21:D30)</f>
        <v>15199</v>
      </c>
      <c r="E31" s="41">
        <f>SUM(E21:E30)</f>
        <v>98159</v>
      </c>
      <c r="F31" s="41">
        <f>SUM(F21:F30)</f>
        <v>901343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10687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10000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341383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12500</v>
      </c>
      <c r="D47" s="95">
        <f>'DOE25'!G48</f>
        <v>0</v>
      </c>
      <c r="E47" s="95">
        <f>'DOE25'!H48</f>
        <v>0</v>
      </c>
      <c r="F47" s="95">
        <f>'DOE25'!I48</f>
        <v>840333</v>
      </c>
      <c r="G47" s="95">
        <f>'DOE25'!J48</f>
        <v>548095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10245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526127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910942</v>
      </c>
      <c r="D50" s="41">
        <f>SUM(D34:D49)</f>
        <v>0</v>
      </c>
      <c r="E50" s="41">
        <f>SUM(E34:E49)</f>
        <v>0</v>
      </c>
      <c r="F50" s="41">
        <f>SUM(F34:F49)</f>
        <v>840333</v>
      </c>
      <c r="G50" s="41">
        <f>SUM(G34:G49)</f>
        <v>548095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1104761</v>
      </c>
      <c r="D51" s="41">
        <f>D50+D31</f>
        <v>15199</v>
      </c>
      <c r="E51" s="41">
        <f>E50+E31</f>
        <v>98159</v>
      </c>
      <c r="F51" s="41">
        <f>F50+F31</f>
        <v>1741676</v>
      </c>
      <c r="G51" s="41">
        <f>G50+G31</f>
        <v>548095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13477393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79464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192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3923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229612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68720</v>
      </c>
      <c r="D61" s="95">
        <f>SUM('DOE25'!G98:G110)</f>
        <v>0</v>
      </c>
      <c r="E61" s="95">
        <f>SUM('DOE25'!H98:H110)</f>
        <v>48539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148376</v>
      </c>
      <c r="D62" s="130">
        <f>SUM(D57:D61)</f>
        <v>229612</v>
      </c>
      <c r="E62" s="130">
        <f>SUM(E57:E61)</f>
        <v>48539</v>
      </c>
      <c r="F62" s="130">
        <f>SUM(F57:F61)</f>
        <v>0</v>
      </c>
      <c r="G62" s="130">
        <f>SUM(G57:G61)</f>
        <v>3923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13625769</v>
      </c>
      <c r="D63" s="22">
        <f>D56+D62</f>
        <v>229612</v>
      </c>
      <c r="E63" s="22">
        <f>E56+E62</f>
        <v>48539</v>
      </c>
      <c r="F63" s="22">
        <f>F56+F62</f>
        <v>0</v>
      </c>
      <c r="G63" s="22">
        <f>G56+G62</f>
        <v>3923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2175748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1389580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13311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3578639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173286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88290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4975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3613</v>
      </c>
      <c r="E77" s="95">
        <f>SUM('DOE25'!H131:H135)</f>
        <v>6735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266551</v>
      </c>
      <c r="D78" s="130">
        <f>SUM(D72:D77)</f>
        <v>3613</v>
      </c>
      <c r="E78" s="130">
        <f>SUM(E72:E77)</f>
        <v>6735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3845190</v>
      </c>
      <c r="D81" s="130">
        <f>SUM(D79:D80)+D78+D70</f>
        <v>3613</v>
      </c>
      <c r="E81" s="130">
        <f>SUM(E79:E80)+E78+E70</f>
        <v>6735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168817</v>
      </c>
      <c r="D88" s="95">
        <f>SUM('DOE25'!G153:G161)</f>
        <v>80604</v>
      </c>
      <c r="E88" s="95">
        <f>SUM('DOE25'!H153:H161)</f>
        <v>452992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168817</v>
      </c>
      <c r="D91" s="131">
        <f>SUM(D85:D90)</f>
        <v>80604</v>
      </c>
      <c r="E91" s="131">
        <f>SUM(E85:E90)</f>
        <v>452992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98237</v>
      </c>
      <c r="E96" s="95">
        <f>'DOE25'!H179</f>
        <v>3061</v>
      </c>
      <c r="F96" s="95">
        <f>'DOE25'!I179</f>
        <v>0</v>
      </c>
      <c r="G96" s="95">
        <f>'DOE25'!J179</f>
        <v>60000</v>
      </c>
    </row>
    <row r="97" spans="1:7" x14ac:dyDescent="0.2">
      <c r="A97" t="s">
        <v>752</v>
      </c>
      <c r="B97" s="32" t="s">
        <v>188</v>
      </c>
      <c r="C97" s="95">
        <f>SUM('DOE25'!F180:F181)</f>
        <v>917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2165767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917</v>
      </c>
      <c r="D103" s="86">
        <f>SUM(D93:D102)</f>
        <v>98237</v>
      </c>
      <c r="E103" s="86">
        <f>SUM(E93:E102)</f>
        <v>3061</v>
      </c>
      <c r="F103" s="86">
        <f>SUM(F93:F102)</f>
        <v>2165767</v>
      </c>
      <c r="G103" s="86">
        <f>SUM(G93:G102)</f>
        <v>60000</v>
      </c>
    </row>
    <row r="104" spans="1:7" ht="12.75" thickTop="1" thickBot="1" x14ac:dyDescent="0.25">
      <c r="A104" s="33" t="s">
        <v>759</v>
      </c>
      <c r="C104" s="86">
        <f>C63+C81+C91+C103</f>
        <v>17640693</v>
      </c>
      <c r="D104" s="86">
        <f>D63+D81+D91+D103</f>
        <v>412066</v>
      </c>
      <c r="E104" s="86">
        <f>E63+E81+E91+E103</f>
        <v>511327</v>
      </c>
      <c r="F104" s="86">
        <f>F63+F81+F91+F103</f>
        <v>2165767</v>
      </c>
      <c r="G104" s="86">
        <f>G63+G81+G103</f>
        <v>63923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7188077</v>
      </c>
      <c r="D109" s="24" t="s">
        <v>286</v>
      </c>
      <c r="E109" s="95">
        <f>('DOE25'!L276)+('DOE25'!L295)+('DOE25'!L314)</f>
        <v>90947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3367883</v>
      </c>
      <c r="D110" s="24" t="s">
        <v>286</v>
      </c>
      <c r="E110" s="95">
        <f>('DOE25'!L277)+('DOE25'!L296)+('DOE25'!L315)</f>
        <v>252076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36565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394989</v>
      </c>
      <c r="D112" s="24" t="s">
        <v>286</v>
      </c>
      <c r="E112" s="95">
        <f>+('DOE25'!L279)+('DOE25'!L298)+('DOE25'!L317)</f>
        <v>700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180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7819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10987514</v>
      </c>
      <c r="D115" s="86">
        <f>SUM(D109:D114)</f>
        <v>0</v>
      </c>
      <c r="E115" s="86">
        <f>SUM(E109:E114)</f>
        <v>351722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1454583</v>
      </c>
      <c r="D118" s="24" t="s">
        <v>286</v>
      </c>
      <c r="E118" s="95">
        <f>+('DOE25'!L281)+('DOE25'!L300)+('DOE25'!L319)</f>
        <v>20777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709899</v>
      </c>
      <c r="D119" s="24" t="s">
        <v>286</v>
      </c>
      <c r="E119" s="95">
        <f>+('DOE25'!L282)+('DOE25'!L301)+('DOE25'!L320)</f>
        <v>131095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585481</v>
      </c>
      <c r="D120" s="24" t="s">
        <v>286</v>
      </c>
      <c r="E120" s="95">
        <f>+('DOE25'!L283)+('DOE25'!L302)+('DOE25'!L321)</f>
        <v>1087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846897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306783</v>
      </c>
      <c r="D122" s="24" t="s">
        <v>286</v>
      </c>
      <c r="E122" s="95">
        <f>+('DOE25'!L285)+('DOE25'!L304)+('DOE25'!L323)</f>
        <v>1500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1120425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793089</v>
      </c>
      <c r="D124" s="24" t="s">
        <v>286</v>
      </c>
      <c r="E124" s="95">
        <f>+('DOE25'!L287)+('DOE25'!L306)+('DOE25'!L325)</f>
        <v>4229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236794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412066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6053951</v>
      </c>
      <c r="D128" s="86">
        <f>SUM(D118:D127)</f>
        <v>412066</v>
      </c>
      <c r="E128" s="86">
        <f>SUM(E118:E127)</f>
        <v>158688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2200</v>
      </c>
      <c r="D130" s="24" t="s">
        <v>286</v>
      </c>
      <c r="E130" s="129">
        <f>'DOE25'!L336</f>
        <v>0</v>
      </c>
      <c r="F130" s="129">
        <f>SUM('DOE25'!L374:'DOE25'!L380)</f>
        <v>1325434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540000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13500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917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98237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3061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63743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180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-3923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716998</v>
      </c>
      <c r="D144" s="141">
        <f>SUM(D130:D143)</f>
        <v>0</v>
      </c>
      <c r="E144" s="141">
        <f>SUM(E130:E143)</f>
        <v>917</v>
      </c>
      <c r="F144" s="141">
        <f>SUM(F130:F143)</f>
        <v>1325434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17758463</v>
      </c>
      <c r="D145" s="86">
        <f>(D115+D128+D144)</f>
        <v>412066</v>
      </c>
      <c r="E145" s="86">
        <f>(E115+E128+E144)</f>
        <v>511327</v>
      </c>
      <c r="F145" s="86">
        <f>(F115+F128+F144)</f>
        <v>1325434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5/07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8/17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4745000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 t="str">
        <f>'DOE25'!F494</f>
        <v>2.5 - 5.0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540000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540000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540000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540000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4294967295" verticalDpi="4294967295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734</v>
      </c>
      <c r="B1" s="284"/>
      <c r="C1" s="284"/>
      <c r="D1" s="284"/>
    </row>
    <row r="2" spans="1:4" x14ac:dyDescent="0.2">
      <c r="A2" s="187" t="s">
        <v>711</v>
      </c>
      <c r="B2" s="186" t="str">
        <f>'DOE25'!A2</f>
        <v>HOPKINTON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16968</v>
      </c>
    </row>
    <row r="5" spans="1:4" x14ac:dyDescent="0.2">
      <c r="B5" t="s">
        <v>698</v>
      </c>
      <c r="C5" s="179">
        <f>IF('DOE25'!G665+'DOE25'!G670=0,0,ROUND('DOE25'!G672,0))</f>
        <v>15487</v>
      </c>
    </row>
    <row r="6" spans="1:4" x14ac:dyDescent="0.2">
      <c r="B6" t="s">
        <v>62</v>
      </c>
      <c r="C6" s="179">
        <f>IF('DOE25'!H665+'DOE25'!H670=0,0,ROUND('DOE25'!H672,0))</f>
        <v>18899</v>
      </c>
    </row>
    <row r="7" spans="1:4" x14ac:dyDescent="0.2">
      <c r="B7" t="s">
        <v>699</v>
      </c>
      <c r="C7" s="179">
        <f>IF('DOE25'!I665+'DOE25'!I670=0,0,ROUND('DOE25'!I672,0))</f>
        <v>17266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7279024</v>
      </c>
      <c r="D10" s="182">
        <f>ROUND((C10/$C$28)*100,1)</f>
        <v>41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3619959</v>
      </c>
      <c r="D11" s="182">
        <f>ROUND((C11/$C$28)*100,1)</f>
        <v>20.399999999999999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36565</v>
      </c>
      <c r="D12" s="182">
        <f>ROUND((C12/$C$28)*100,1)</f>
        <v>0.2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395689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1475360</v>
      </c>
      <c r="D15" s="182">
        <f t="shared" ref="D15:D27" si="0">ROUND((C15/$C$28)*100,1)</f>
        <v>8.3000000000000007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840994</v>
      </c>
      <c r="D16" s="182">
        <f t="shared" si="0"/>
        <v>4.7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823362</v>
      </c>
      <c r="D17" s="182">
        <f t="shared" si="0"/>
        <v>4.5999999999999996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846897</v>
      </c>
      <c r="D18" s="182">
        <f t="shared" si="0"/>
        <v>4.8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308283</v>
      </c>
      <c r="D19" s="182">
        <f t="shared" si="0"/>
        <v>1.7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1120425</v>
      </c>
      <c r="D20" s="182">
        <f t="shared" si="0"/>
        <v>6.3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797318</v>
      </c>
      <c r="D21" s="182">
        <f t="shared" si="0"/>
        <v>4.5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180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7819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13500</v>
      </c>
      <c r="D25" s="182">
        <f t="shared" si="0"/>
        <v>0.1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182454</v>
      </c>
      <c r="D27" s="182">
        <f t="shared" si="0"/>
        <v>1</v>
      </c>
    </row>
    <row r="28" spans="1:4" x14ac:dyDescent="0.2">
      <c r="B28" s="187" t="s">
        <v>717</v>
      </c>
      <c r="C28" s="180">
        <f>SUM(C10:C27)</f>
        <v>17747829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1327634</v>
      </c>
    </row>
    <row r="30" spans="1:4" x14ac:dyDescent="0.2">
      <c r="B30" s="187" t="s">
        <v>723</v>
      </c>
      <c r="C30" s="180">
        <f>SUM(C28:C29)</f>
        <v>19075463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540000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13477393</v>
      </c>
      <c r="D35" s="182">
        <f t="shared" ref="D35:D40" si="1">ROUND((C35/$C$41)*100,1)</f>
        <v>66.099999999999994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200838</v>
      </c>
      <c r="D36" s="182">
        <f t="shared" si="1"/>
        <v>1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3565328</v>
      </c>
      <c r="D37" s="182">
        <f t="shared" si="1"/>
        <v>17.5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290210</v>
      </c>
      <c r="D38" s="182">
        <f t="shared" si="1"/>
        <v>1.4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702413</v>
      </c>
      <c r="D39" s="182">
        <f t="shared" si="1"/>
        <v>3.4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2165767</v>
      </c>
      <c r="D40" s="182">
        <f t="shared" si="1"/>
        <v>10.6</v>
      </c>
    </row>
    <row r="41" spans="1:4" x14ac:dyDescent="0.2">
      <c r="B41" s="187" t="s">
        <v>730</v>
      </c>
      <c r="C41" s="180">
        <f>SUM(C35:C40)</f>
        <v>20401949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764</v>
      </c>
      <c r="B1" s="290"/>
      <c r="C1" s="290"/>
      <c r="D1" s="290"/>
      <c r="E1" s="290"/>
      <c r="F1" s="290"/>
      <c r="G1" s="290"/>
      <c r="H1" s="290"/>
      <c r="I1" s="290"/>
      <c r="J1" s="213"/>
      <c r="K1" s="213"/>
      <c r="L1" s="213"/>
      <c r="M1" s="214"/>
    </row>
    <row r="2" spans="1:26" ht="12.75" x14ac:dyDescent="0.2">
      <c r="A2" s="295" t="s">
        <v>761</v>
      </c>
      <c r="B2" s="296"/>
      <c r="C2" s="296"/>
      <c r="D2" s="296"/>
      <c r="E2" s="296"/>
      <c r="F2" s="293" t="str">
        <f>'DOE25'!A2</f>
        <v>HOPKINTON SCHOOL DISTRICT</v>
      </c>
      <c r="G2" s="294"/>
      <c r="H2" s="294"/>
      <c r="I2" s="294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1" t="s">
        <v>765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8"/>
      <c r="B4" s="219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8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8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8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8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8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8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8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8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8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8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8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8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8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8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8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8"/>
      <c r="N29" s="211"/>
      <c r="O29" s="211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07"/>
      <c r="AB29" s="207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07"/>
      <c r="AO29" s="207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07"/>
      <c r="BB29" s="207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07"/>
      <c r="BO29" s="207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07"/>
      <c r="CB29" s="207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07"/>
      <c r="CO29" s="207"/>
      <c r="CP29" s="285"/>
      <c r="CQ29" s="285"/>
      <c r="CR29" s="285"/>
      <c r="CS29" s="285"/>
      <c r="CT29" s="285"/>
      <c r="CU29" s="285"/>
      <c r="CV29" s="285"/>
      <c r="CW29" s="285"/>
      <c r="CX29" s="285"/>
      <c r="CY29" s="285"/>
      <c r="CZ29" s="285"/>
      <c r="DA29" s="207"/>
      <c r="DB29" s="207"/>
      <c r="DC29" s="285"/>
      <c r="DD29" s="285"/>
      <c r="DE29" s="285"/>
      <c r="DF29" s="285"/>
      <c r="DG29" s="285"/>
      <c r="DH29" s="285"/>
      <c r="DI29" s="285"/>
      <c r="DJ29" s="285"/>
      <c r="DK29" s="285"/>
      <c r="DL29" s="285"/>
      <c r="DM29" s="285"/>
      <c r="DN29" s="207"/>
      <c r="DO29" s="207"/>
      <c r="DP29" s="285"/>
      <c r="DQ29" s="285"/>
      <c r="DR29" s="285"/>
      <c r="DS29" s="285"/>
      <c r="DT29" s="285"/>
      <c r="DU29" s="285"/>
      <c r="DV29" s="285"/>
      <c r="DW29" s="285"/>
      <c r="DX29" s="285"/>
      <c r="DY29" s="285"/>
      <c r="DZ29" s="285"/>
      <c r="EA29" s="207"/>
      <c r="EB29" s="207"/>
      <c r="EC29" s="285"/>
      <c r="ED29" s="285"/>
      <c r="EE29" s="285"/>
      <c r="EF29" s="285"/>
      <c r="EG29" s="285"/>
      <c r="EH29" s="285"/>
      <c r="EI29" s="285"/>
      <c r="EJ29" s="285"/>
      <c r="EK29" s="285"/>
      <c r="EL29" s="285"/>
      <c r="EM29" s="285"/>
      <c r="EN29" s="207"/>
      <c r="EO29" s="207"/>
      <c r="EP29" s="285"/>
      <c r="EQ29" s="285"/>
      <c r="ER29" s="285"/>
      <c r="ES29" s="285"/>
      <c r="ET29" s="285"/>
      <c r="EU29" s="285"/>
      <c r="EV29" s="285"/>
      <c r="EW29" s="285"/>
      <c r="EX29" s="285"/>
      <c r="EY29" s="285"/>
      <c r="EZ29" s="285"/>
      <c r="FA29" s="207"/>
      <c r="FB29" s="207"/>
      <c r="FC29" s="285"/>
      <c r="FD29" s="285"/>
      <c r="FE29" s="285"/>
      <c r="FF29" s="285"/>
      <c r="FG29" s="285"/>
      <c r="FH29" s="285"/>
      <c r="FI29" s="285"/>
      <c r="FJ29" s="285"/>
      <c r="FK29" s="285"/>
      <c r="FL29" s="285"/>
      <c r="FM29" s="285"/>
      <c r="FN29" s="207"/>
      <c r="FO29" s="207"/>
      <c r="FP29" s="285"/>
      <c r="FQ29" s="285"/>
      <c r="FR29" s="285"/>
      <c r="FS29" s="285"/>
      <c r="FT29" s="285"/>
      <c r="FU29" s="285"/>
      <c r="FV29" s="285"/>
      <c r="FW29" s="285"/>
      <c r="FX29" s="285"/>
      <c r="FY29" s="285"/>
      <c r="FZ29" s="285"/>
      <c r="GA29" s="207"/>
      <c r="GB29" s="207"/>
      <c r="GC29" s="285"/>
      <c r="GD29" s="285"/>
      <c r="GE29" s="285"/>
      <c r="GF29" s="285"/>
      <c r="GG29" s="285"/>
      <c r="GH29" s="285"/>
      <c r="GI29" s="285"/>
      <c r="GJ29" s="285"/>
      <c r="GK29" s="285"/>
      <c r="GL29" s="285"/>
      <c r="GM29" s="285"/>
      <c r="GN29" s="207"/>
      <c r="GO29" s="207"/>
      <c r="GP29" s="285"/>
      <c r="GQ29" s="285"/>
      <c r="GR29" s="285"/>
      <c r="GS29" s="285"/>
      <c r="GT29" s="285"/>
      <c r="GU29" s="285"/>
      <c r="GV29" s="285"/>
      <c r="GW29" s="285"/>
      <c r="GX29" s="285"/>
      <c r="GY29" s="285"/>
      <c r="GZ29" s="285"/>
      <c r="HA29" s="207"/>
      <c r="HB29" s="207"/>
      <c r="HC29" s="285"/>
      <c r="HD29" s="285"/>
      <c r="HE29" s="285"/>
      <c r="HF29" s="285"/>
      <c r="HG29" s="285"/>
      <c r="HH29" s="285"/>
      <c r="HI29" s="285"/>
      <c r="HJ29" s="285"/>
      <c r="HK29" s="285"/>
      <c r="HL29" s="285"/>
      <c r="HM29" s="285"/>
      <c r="HN29" s="207"/>
      <c r="HO29" s="207"/>
      <c r="HP29" s="285"/>
      <c r="HQ29" s="285"/>
      <c r="HR29" s="285"/>
      <c r="HS29" s="285"/>
      <c r="HT29" s="285"/>
      <c r="HU29" s="285"/>
      <c r="HV29" s="285"/>
      <c r="HW29" s="285"/>
      <c r="HX29" s="285"/>
      <c r="HY29" s="285"/>
      <c r="HZ29" s="285"/>
      <c r="IA29" s="207"/>
      <c r="IB29" s="207"/>
      <c r="IC29" s="285"/>
      <c r="ID29" s="285"/>
      <c r="IE29" s="285"/>
      <c r="IF29" s="285"/>
      <c r="IG29" s="285"/>
      <c r="IH29" s="285"/>
      <c r="II29" s="285"/>
      <c r="IJ29" s="285"/>
      <c r="IK29" s="285"/>
      <c r="IL29" s="285"/>
      <c r="IM29" s="285"/>
      <c r="IN29" s="207"/>
      <c r="IO29" s="207"/>
      <c r="IP29" s="285"/>
      <c r="IQ29" s="285"/>
      <c r="IR29" s="285"/>
      <c r="IS29" s="285"/>
      <c r="IT29" s="285"/>
      <c r="IU29" s="285"/>
      <c r="IV29" s="285"/>
    </row>
    <row r="30" spans="1:256" x14ac:dyDescent="0.2">
      <c r="A30" s="218"/>
      <c r="B30" s="219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8"/>
      <c r="N30" s="211"/>
      <c r="O30" s="211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07"/>
      <c r="AB30" s="207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07"/>
      <c r="AO30" s="207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07"/>
      <c r="BB30" s="207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07"/>
      <c r="BO30" s="207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07"/>
      <c r="CB30" s="207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07"/>
      <c r="CO30" s="207"/>
      <c r="CP30" s="285"/>
      <c r="CQ30" s="285"/>
      <c r="CR30" s="285"/>
      <c r="CS30" s="285"/>
      <c r="CT30" s="285"/>
      <c r="CU30" s="285"/>
      <c r="CV30" s="285"/>
      <c r="CW30" s="285"/>
      <c r="CX30" s="285"/>
      <c r="CY30" s="285"/>
      <c r="CZ30" s="285"/>
      <c r="DA30" s="207"/>
      <c r="DB30" s="207"/>
      <c r="DC30" s="285"/>
      <c r="DD30" s="285"/>
      <c r="DE30" s="285"/>
      <c r="DF30" s="285"/>
      <c r="DG30" s="285"/>
      <c r="DH30" s="285"/>
      <c r="DI30" s="285"/>
      <c r="DJ30" s="285"/>
      <c r="DK30" s="285"/>
      <c r="DL30" s="285"/>
      <c r="DM30" s="285"/>
      <c r="DN30" s="207"/>
      <c r="DO30" s="207"/>
      <c r="DP30" s="285"/>
      <c r="DQ30" s="285"/>
      <c r="DR30" s="285"/>
      <c r="DS30" s="285"/>
      <c r="DT30" s="285"/>
      <c r="DU30" s="285"/>
      <c r="DV30" s="285"/>
      <c r="DW30" s="285"/>
      <c r="DX30" s="285"/>
      <c r="DY30" s="285"/>
      <c r="DZ30" s="285"/>
      <c r="EA30" s="207"/>
      <c r="EB30" s="207"/>
      <c r="EC30" s="285"/>
      <c r="ED30" s="285"/>
      <c r="EE30" s="285"/>
      <c r="EF30" s="285"/>
      <c r="EG30" s="285"/>
      <c r="EH30" s="285"/>
      <c r="EI30" s="285"/>
      <c r="EJ30" s="285"/>
      <c r="EK30" s="285"/>
      <c r="EL30" s="285"/>
      <c r="EM30" s="285"/>
      <c r="EN30" s="207"/>
      <c r="EO30" s="207"/>
      <c r="EP30" s="285"/>
      <c r="EQ30" s="285"/>
      <c r="ER30" s="285"/>
      <c r="ES30" s="285"/>
      <c r="ET30" s="285"/>
      <c r="EU30" s="285"/>
      <c r="EV30" s="285"/>
      <c r="EW30" s="285"/>
      <c r="EX30" s="285"/>
      <c r="EY30" s="285"/>
      <c r="EZ30" s="285"/>
      <c r="FA30" s="207"/>
      <c r="FB30" s="207"/>
      <c r="FC30" s="285"/>
      <c r="FD30" s="285"/>
      <c r="FE30" s="285"/>
      <c r="FF30" s="285"/>
      <c r="FG30" s="285"/>
      <c r="FH30" s="285"/>
      <c r="FI30" s="285"/>
      <c r="FJ30" s="285"/>
      <c r="FK30" s="285"/>
      <c r="FL30" s="285"/>
      <c r="FM30" s="285"/>
      <c r="FN30" s="207"/>
      <c r="FO30" s="207"/>
      <c r="FP30" s="285"/>
      <c r="FQ30" s="285"/>
      <c r="FR30" s="285"/>
      <c r="FS30" s="285"/>
      <c r="FT30" s="285"/>
      <c r="FU30" s="285"/>
      <c r="FV30" s="285"/>
      <c r="FW30" s="285"/>
      <c r="FX30" s="285"/>
      <c r="FY30" s="285"/>
      <c r="FZ30" s="285"/>
      <c r="GA30" s="207"/>
      <c r="GB30" s="207"/>
      <c r="GC30" s="285"/>
      <c r="GD30" s="285"/>
      <c r="GE30" s="285"/>
      <c r="GF30" s="285"/>
      <c r="GG30" s="285"/>
      <c r="GH30" s="285"/>
      <c r="GI30" s="285"/>
      <c r="GJ30" s="285"/>
      <c r="GK30" s="285"/>
      <c r="GL30" s="285"/>
      <c r="GM30" s="285"/>
      <c r="GN30" s="207"/>
      <c r="GO30" s="207"/>
      <c r="GP30" s="285"/>
      <c r="GQ30" s="285"/>
      <c r="GR30" s="285"/>
      <c r="GS30" s="285"/>
      <c r="GT30" s="285"/>
      <c r="GU30" s="285"/>
      <c r="GV30" s="285"/>
      <c r="GW30" s="285"/>
      <c r="GX30" s="285"/>
      <c r="GY30" s="285"/>
      <c r="GZ30" s="285"/>
      <c r="HA30" s="207"/>
      <c r="HB30" s="207"/>
      <c r="HC30" s="285"/>
      <c r="HD30" s="285"/>
      <c r="HE30" s="285"/>
      <c r="HF30" s="285"/>
      <c r="HG30" s="285"/>
      <c r="HH30" s="285"/>
      <c r="HI30" s="285"/>
      <c r="HJ30" s="285"/>
      <c r="HK30" s="285"/>
      <c r="HL30" s="285"/>
      <c r="HM30" s="285"/>
      <c r="HN30" s="207"/>
      <c r="HO30" s="207"/>
      <c r="HP30" s="285"/>
      <c r="HQ30" s="285"/>
      <c r="HR30" s="285"/>
      <c r="HS30" s="285"/>
      <c r="HT30" s="285"/>
      <c r="HU30" s="285"/>
      <c r="HV30" s="285"/>
      <c r="HW30" s="285"/>
      <c r="HX30" s="285"/>
      <c r="HY30" s="285"/>
      <c r="HZ30" s="285"/>
      <c r="IA30" s="207"/>
      <c r="IB30" s="207"/>
      <c r="IC30" s="285"/>
      <c r="ID30" s="285"/>
      <c r="IE30" s="285"/>
      <c r="IF30" s="285"/>
      <c r="IG30" s="285"/>
      <c r="IH30" s="285"/>
      <c r="II30" s="285"/>
      <c r="IJ30" s="285"/>
      <c r="IK30" s="285"/>
      <c r="IL30" s="285"/>
      <c r="IM30" s="285"/>
      <c r="IN30" s="207"/>
      <c r="IO30" s="207"/>
      <c r="IP30" s="285"/>
      <c r="IQ30" s="285"/>
      <c r="IR30" s="285"/>
      <c r="IS30" s="285"/>
      <c r="IT30" s="285"/>
      <c r="IU30" s="285"/>
      <c r="IV30" s="285"/>
    </row>
    <row r="31" spans="1:256" x14ac:dyDescent="0.2">
      <c r="A31" s="218"/>
      <c r="B31" s="219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8"/>
      <c r="N31" s="211"/>
      <c r="O31" s="211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07"/>
      <c r="AB31" s="207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07"/>
      <c r="AO31" s="207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07"/>
      <c r="BB31" s="207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07"/>
      <c r="BO31" s="207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07"/>
      <c r="CB31" s="207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07"/>
      <c r="CO31" s="207"/>
      <c r="CP31" s="285"/>
      <c r="CQ31" s="285"/>
      <c r="CR31" s="285"/>
      <c r="CS31" s="285"/>
      <c r="CT31" s="285"/>
      <c r="CU31" s="285"/>
      <c r="CV31" s="285"/>
      <c r="CW31" s="285"/>
      <c r="CX31" s="285"/>
      <c r="CY31" s="285"/>
      <c r="CZ31" s="285"/>
      <c r="DA31" s="207"/>
      <c r="DB31" s="207"/>
      <c r="DC31" s="285"/>
      <c r="DD31" s="285"/>
      <c r="DE31" s="285"/>
      <c r="DF31" s="285"/>
      <c r="DG31" s="285"/>
      <c r="DH31" s="285"/>
      <c r="DI31" s="285"/>
      <c r="DJ31" s="285"/>
      <c r="DK31" s="285"/>
      <c r="DL31" s="285"/>
      <c r="DM31" s="285"/>
      <c r="DN31" s="207"/>
      <c r="DO31" s="207"/>
      <c r="DP31" s="285"/>
      <c r="DQ31" s="285"/>
      <c r="DR31" s="285"/>
      <c r="DS31" s="285"/>
      <c r="DT31" s="285"/>
      <c r="DU31" s="285"/>
      <c r="DV31" s="285"/>
      <c r="DW31" s="285"/>
      <c r="DX31" s="285"/>
      <c r="DY31" s="285"/>
      <c r="DZ31" s="285"/>
      <c r="EA31" s="207"/>
      <c r="EB31" s="207"/>
      <c r="EC31" s="285"/>
      <c r="ED31" s="285"/>
      <c r="EE31" s="285"/>
      <c r="EF31" s="285"/>
      <c r="EG31" s="285"/>
      <c r="EH31" s="285"/>
      <c r="EI31" s="285"/>
      <c r="EJ31" s="285"/>
      <c r="EK31" s="285"/>
      <c r="EL31" s="285"/>
      <c r="EM31" s="285"/>
      <c r="EN31" s="207"/>
      <c r="EO31" s="207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07"/>
      <c r="FB31" s="207"/>
      <c r="FC31" s="285"/>
      <c r="FD31" s="285"/>
      <c r="FE31" s="285"/>
      <c r="FF31" s="285"/>
      <c r="FG31" s="285"/>
      <c r="FH31" s="285"/>
      <c r="FI31" s="285"/>
      <c r="FJ31" s="285"/>
      <c r="FK31" s="285"/>
      <c r="FL31" s="285"/>
      <c r="FM31" s="285"/>
      <c r="FN31" s="207"/>
      <c r="FO31" s="207"/>
      <c r="FP31" s="285"/>
      <c r="FQ31" s="285"/>
      <c r="FR31" s="285"/>
      <c r="FS31" s="285"/>
      <c r="FT31" s="285"/>
      <c r="FU31" s="285"/>
      <c r="FV31" s="285"/>
      <c r="FW31" s="285"/>
      <c r="FX31" s="285"/>
      <c r="FY31" s="285"/>
      <c r="FZ31" s="285"/>
      <c r="GA31" s="207"/>
      <c r="GB31" s="207"/>
      <c r="GC31" s="285"/>
      <c r="GD31" s="285"/>
      <c r="GE31" s="285"/>
      <c r="GF31" s="285"/>
      <c r="GG31" s="285"/>
      <c r="GH31" s="285"/>
      <c r="GI31" s="285"/>
      <c r="GJ31" s="285"/>
      <c r="GK31" s="285"/>
      <c r="GL31" s="285"/>
      <c r="GM31" s="285"/>
      <c r="GN31" s="207"/>
      <c r="GO31" s="207"/>
      <c r="GP31" s="285"/>
      <c r="GQ31" s="285"/>
      <c r="GR31" s="285"/>
      <c r="GS31" s="285"/>
      <c r="GT31" s="285"/>
      <c r="GU31" s="285"/>
      <c r="GV31" s="285"/>
      <c r="GW31" s="285"/>
      <c r="GX31" s="285"/>
      <c r="GY31" s="285"/>
      <c r="GZ31" s="285"/>
      <c r="HA31" s="207"/>
      <c r="HB31" s="207"/>
      <c r="HC31" s="285"/>
      <c r="HD31" s="285"/>
      <c r="HE31" s="285"/>
      <c r="HF31" s="285"/>
      <c r="HG31" s="285"/>
      <c r="HH31" s="285"/>
      <c r="HI31" s="285"/>
      <c r="HJ31" s="285"/>
      <c r="HK31" s="285"/>
      <c r="HL31" s="285"/>
      <c r="HM31" s="285"/>
      <c r="HN31" s="207"/>
      <c r="HO31" s="207"/>
      <c r="HP31" s="285"/>
      <c r="HQ31" s="285"/>
      <c r="HR31" s="285"/>
      <c r="HS31" s="285"/>
      <c r="HT31" s="285"/>
      <c r="HU31" s="285"/>
      <c r="HV31" s="285"/>
      <c r="HW31" s="285"/>
      <c r="HX31" s="285"/>
      <c r="HY31" s="285"/>
      <c r="HZ31" s="285"/>
      <c r="IA31" s="207"/>
      <c r="IB31" s="207"/>
      <c r="IC31" s="285"/>
      <c r="ID31" s="285"/>
      <c r="IE31" s="285"/>
      <c r="IF31" s="285"/>
      <c r="IG31" s="285"/>
      <c r="IH31" s="285"/>
      <c r="II31" s="285"/>
      <c r="IJ31" s="285"/>
      <c r="IK31" s="285"/>
      <c r="IL31" s="285"/>
      <c r="IM31" s="285"/>
      <c r="IN31" s="207"/>
      <c r="IO31" s="207"/>
      <c r="IP31" s="285"/>
      <c r="IQ31" s="285"/>
      <c r="IR31" s="285"/>
      <c r="IS31" s="285"/>
      <c r="IT31" s="285"/>
      <c r="IU31" s="285"/>
      <c r="IV31" s="285"/>
    </row>
    <row r="32" spans="1:256" x14ac:dyDescent="0.2">
      <c r="A32" s="218"/>
      <c r="B32" s="21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8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8"/>
      <c r="AN32" s="218"/>
      <c r="AO32" s="219"/>
      <c r="AP32" s="287"/>
      <c r="AQ32" s="287"/>
      <c r="AR32" s="287"/>
      <c r="AS32" s="287"/>
      <c r="AT32" s="287"/>
      <c r="AU32" s="287"/>
      <c r="AV32" s="287"/>
      <c r="AW32" s="287"/>
      <c r="AX32" s="287"/>
      <c r="AY32" s="287"/>
      <c r="AZ32" s="288"/>
      <c r="BA32" s="218"/>
      <c r="BB32" s="219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8"/>
      <c r="BN32" s="218"/>
      <c r="BO32" s="219"/>
      <c r="BP32" s="287"/>
      <c r="BQ32" s="287"/>
      <c r="BR32" s="287"/>
      <c r="BS32" s="287"/>
      <c r="BT32" s="287"/>
      <c r="BU32" s="287"/>
      <c r="BV32" s="287"/>
      <c r="BW32" s="287"/>
      <c r="BX32" s="287"/>
      <c r="BY32" s="287"/>
      <c r="BZ32" s="288"/>
      <c r="CA32" s="218"/>
      <c r="CB32" s="219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8"/>
      <c r="CN32" s="218"/>
      <c r="CO32" s="219"/>
      <c r="CP32" s="287"/>
      <c r="CQ32" s="287"/>
      <c r="CR32" s="287"/>
      <c r="CS32" s="287"/>
      <c r="CT32" s="287"/>
      <c r="CU32" s="287"/>
      <c r="CV32" s="287"/>
      <c r="CW32" s="287"/>
      <c r="CX32" s="287"/>
      <c r="CY32" s="287"/>
      <c r="CZ32" s="288"/>
      <c r="DA32" s="218"/>
      <c r="DB32" s="219"/>
      <c r="DC32" s="287"/>
      <c r="DD32" s="287"/>
      <c r="DE32" s="287"/>
      <c r="DF32" s="287"/>
      <c r="DG32" s="287"/>
      <c r="DH32" s="287"/>
      <c r="DI32" s="287"/>
      <c r="DJ32" s="287"/>
      <c r="DK32" s="287"/>
      <c r="DL32" s="287"/>
      <c r="DM32" s="288"/>
      <c r="DN32" s="218"/>
      <c r="DO32" s="219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8"/>
      <c r="EA32" s="218"/>
      <c r="EB32" s="219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8"/>
      <c r="EN32" s="218"/>
      <c r="EO32" s="219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8"/>
      <c r="FA32" s="218"/>
      <c r="FB32" s="219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8"/>
      <c r="FN32" s="218"/>
      <c r="FO32" s="219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8"/>
      <c r="GA32" s="218"/>
      <c r="GB32" s="219"/>
      <c r="GC32" s="287"/>
      <c r="GD32" s="287"/>
      <c r="GE32" s="287"/>
      <c r="GF32" s="287"/>
      <c r="GG32" s="287"/>
      <c r="GH32" s="287"/>
      <c r="GI32" s="287"/>
      <c r="GJ32" s="287"/>
      <c r="GK32" s="287"/>
      <c r="GL32" s="287"/>
      <c r="GM32" s="288"/>
      <c r="GN32" s="218"/>
      <c r="GO32" s="219"/>
      <c r="GP32" s="287"/>
      <c r="GQ32" s="287"/>
      <c r="GR32" s="287"/>
      <c r="GS32" s="287"/>
      <c r="GT32" s="287"/>
      <c r="GU32" s="287"/>
      <c r="GV32" s="287"/>
      <c r="GW32" s="287"/>
      <c r="GX32" s="287"/>
      <c r="GY32" s="287"/>
      <c r="GZ32" s="288"/>
      <c r="HA32" s="218"/>
      <c r="HB32" s="219"/>
      <c r="HC32" s="287"/>
      <c r="HD32" s="287"/>
      <c r="HE32" s="287"/>
      <c r="HF32" s="287"/>
      <c r="HG32" s="287"/>
      <c r="HH32" s="287"/>
      <c r="HI32" s="287"/>
      <c r="HJ32" s="287"/>
      <c r="HK32" s="287"/>
      <c r="HL32" s="287"/>
      <c r="HM32" s="288"/>
      <c r="HN32" s="218"/>
      <c r="HO32" s="219"/>
      <c r="HP32" s="287"/>
      <c r="HQ32" s="287"/>
      <c r="HR32" s="287"/>
      <c r="HS32" s="287"/>
      <c r="HT32" s="287"/>
      <c r="HU32" s="287"/>
      <c r="HV32" s="287"/>
      <c r="HW32" s="287"/>
      <c r="HX32" s="287"/>
      <c r="HY32" s="287"/>
      <c r="HZ32" s="288"/>
      <c r="IA32" s="218"/>
      <c r="IB32" s="219"/>
      <c r="IC32" s="287"/>
      <c r="ID32" s="287"/>
      <c r="IE32" s="287"/>
      <c r="IF32" s="287"/>
      <c r="IG32" s="287"/>
      <c r="IH32" s="287"/>
      <c r="II32" s="287"/>
      <c r="IJ32" s="287"/>
      <c r="IK32" s="287"/>
      <c r="IL32" s="287"/>
      <c r="IM32" s="288"/>
      <c r="IN32" s="218"/>
      <c r="IO32" s="219"/>
      <c r="IP32" s="287"/>
      <c r="IQ32" s="287"/>
      <c r="IR32" s="287"/>
      <c r="IS32" s="287"/>
      <c r="IT32" s="287"/>
      <c r="IU32" s="287"/>
      <c r="IV32" s="287"/>
    </row>
    <row r="33" spans="1:256" x14ac:dyDescent="0.2">
      <c r="A33" s="218"/>
      <c r="B33" s="219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8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8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8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8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8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8"/>
      <c r="N38" s="211"/>
      <c r="O38" s="211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07"/>
      <c r="AB38" s="207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07"/>
      <c r="AO38" s="207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07"/>
      <c r="BB38" s="207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07"/>
      <c r="BO38" s="207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07"/>
      <c r="CB38" s="207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07"/>
      <c r="CO38" s="207"/>
      <c r="CP38" s="285"/>
      <c r="CQ38" s="285"/>
      <c r="CR38" s="285"/>
      <c r="CS38" s="285"/>
      <c r="CT38" s="285"/>
      <c r="CU38" s="285"/>
      <c r="CV38" s="285"/>
      <c r="CW38" s="285"/>
      <c r="CX38" s="285"/>
      <c r="CY38" s="285"/>
      <c r="CZ38" s="285"/>
      <c r="DA38" s="207"/>
      <c r="DB38" s="207"/>
      <c r="DC38" s="285"/>
      <c r="DD38" s="285"/>
      <c r="DE38" s="285"/>
      <c r="DF38" s="285"/>
      <c r="DG38" s="285"/>
      <c r="DH38" s="285"/>
      <c r="DI38" s="285"/>
      <c r="DJ38" s="285"/>
      <c r="DK38" s="285"/>
      <c r="DL38" s="285"/>
      <c r="DM38" s="285"/>
      <c r="DN38" s="207"/>
      <c r="DO38" s="207"/>
      <c r="DP38" s="285"/>
      <c r="DQ38" s="285"/>
      <c r="DR38" s="285"/>
      <c r="DS38" s="285"/>
      <c r="DT38" s="285"/>
      <c r="DU38" s="285"/>
      <c r="DV38" s="285"/>
      <c r="DW38" s="285"/>
      <c r="DX38" s="285"/>
      <c r="DY38" s="285"/>
      <c r="DZ38" s="285"/>
      <c r="EA38" s="207"/>
      <c r="EB38" s="207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07"/>
      <c r="EO38" s="207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07"/>
      <c r="FB38" s="207"/>
      <c r="FC38" s="285"/>
      <c r="FD38" s="285"/>
      <c r="FE38" s="285"/>
      <c r="FF38" s="285"/>
      <c r="FG38" s="285"/>
      <c r="FH38" s="285"/>
      <c r="FI38" s="285"/>
      <c r="FJ38" s="285"/>
      <c r="FK38" s="285"/>
      <c r="FL38" s="285"/>
      <c r="FM38" s="285"/>
      <c r="FN38" s="207"/>
      <c r="FO38" s="207"/>
      <c r="FP38" s="285"/>
      <c r="FQ38" s="285"/>
      <c r="FR38" s="285"/>
      <c r="FS38" s="285"/>
      <c r="FT38" s="285"/>
      <c r="FU38" s="285"/>
      <c r="FV38" s="285"/>
      <c r="FW38" s="285"/>
      <c r="FX38" s="285"/>
      <c r="FY38" s="285"/>
      <c r="FZ38" s="285"/>
      <c r="GA38" s="207"/>
      <c r="GB38" s="207"/>
      <c r="GC38" s="285"/>
      <c r="GD38" s="285"/>
      <c r="GE38" s="285"/>
      <c r="GF38" s="285"/>
      <c r="GG38" s="285"/>
      <c r="GH38" s="285"/>
      <c r="GI38" s="285"/>
      <c r="GJ38" s="285"/>
      <c r="GK38" s="285"/>
      <c r="GL38" s="285"/>
      <c r="GM38" s="285"/>
      <c r="GN38" s="207"/>
      <c r="GO38" s="207"/>
      <c r="GP38" s="285"/>
      <c r="GQ38" s="285"/>
      <c r="GR38" s="285"/>
      <c r="GS38" s="285"/>
      <c r="GT38" s="285"/>
      <c r="GU38" s="285"/>
      <c r="GV38" s="285"/>
      <c r="GW38" s="285"/>
      <c r="GX38" s="285"/>
      <c r="GY38" s="285"/>
      <c r="GZ38" s="285"/>
      <c r="HA38" s="207"/>
      <c r="HB38" s="207"/>
      <c r="HC38" s="285"/>
      <c r="HD38" s="285"/>
      <c r="HE38" s="285"/>
      <c r="HF38" s="285"/>
      <c r="HG38" s="285"/>
      <c r="HH38" s="285"/>
      <c r="HI38" s="285"/>
      <c r="HJ38" s="285"/>
      <c r="HK38" s="285"/>
      <c r="HL38" s="285"/>
      <c r="HM38" s="285"/>
      <c r="HN38" s="207"/>
      <c r="HO38" s="207"/>
      <c r="HP38" s="285"/>
      <c r="HQ38" s="285"/>
      <c r="HR38" s="285"/>
      <c r="HS38" s="285"/>
      <c r="HT38" s="285"/>
      <c r="HU38" s="285"/>
      <c r="HV38" s="285"/>
      <c r="HW38" s="285"/>
      <c r="HX38" s="285"/>
      <c r="HY38" s="285"/>
      <c r="HZ38" s="285"/>
      <c r="IA38" s="207"/>
      <c r="IB38" s="207"/>
      <c r="IC38" s="285"/>
      <c r="ID38" s="285"/>
      <c r="IE38" s="285"/>
      <c r="IF38" s="285"/>
      <c r="IG38" s="285"/>
      <c r="IH38" s="285"/>
      <c r="II38" s="285"/>
      <c r="IJ38" s="285"/>
      <c r="IK38" s="285"/>
      <c r="IL38" s="285"/>
      <c r="IM38" s="285"/>
      <c r="IN38" s="207"/>
      <c r="IO38" s="207"/>
      <c r="IP38" s="285"/>
      <c r="IQ38" s="285"/>
      <c r="IR38" s="285"/>
      <c r="IS38" s="285"/>
      <c r="IT38" s="285"/>
      <c r="IU38" s="285"/>
      <c r="IV38" s="285"/>
    </row>
    <row r="39" spans="1:256" x14ac:dyDescent="0.2">
      <c r="A39" s="218"/>
      <c r="B39" s="219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8"/>
      <c r="N39" s="211"/>
      <c r="O39" s="211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07"/>
      <c r="AB39" s="207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07"/>
      <c r="AO39" s="207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07"/>
      <c r="BB39" s="207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07"/>
      <c r="BO39" s="207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07"/>
      <c r="CB39" s="207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07"/>
      <c r="CO39" s="207"/>
      <c r="CP39" s="285"/>
      <c r="CQ39" s="285"/>
      <c r="CR39" s="285"/>
      <c r="CS39" s="285"/>
      <c r="CT39" s="285"/>
      <c r="CU39" s="285"/>
      <c r="CV39" s="285"/>
      <c r="CW39" s="285"/>
      <c r="CX39" s="285"/>
      <c r="CY39" s="285"/>
      <c r="CZ39" s="285"/>
      <c r="DA39" s="207"/>
      <c r="DB39" s="207"/>
      <c r="DC39" s="285"/>
      <c r="DD39" s="285"/>
      <c r="DE39" s="285"/>
      <c r="DF39" s="285"/>
      <c r="DG39" s="285"/>
      <c r="DH39" s="285"/>
      <c r="DI39" s="285"/>
      <c r="DJ39" s="285"/>
      <c r="DK39" s="285"/>
      <c r="DL39" s="285"/>
      <c r="DM39" s="285"/>
      <c r="DN39" s="207"/>
      <c r="DO39" s="207"/>
      <c r="DP39" s="285"/>
      <c r="DQ39" s="285"/>
      <c r="DR39" s="285"/>
      <c r="DS39" s="285"/>
      <c r="DT39" s="285"/>
      <c r="DU39" s="285"/>
      <c r="DV39" s="285"/>
      <c r="DW39" s="285"/>
      <c r="DX39" s="285"/>
      <c r="DY39" s="285"/>
      <c r="DZ39" s="285"/>
      <c r="EA39" s="207"/>
      <c r="EB39" s="207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07"/>
      <c r="EO39" s="207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07"/>
      <c r="FB39" s="207"/>
      <c r="FC39" s="285"/>
      <c r="FD39" s="285"/>
      <c r="FE39" s="285"/>
      <c r="FF39" s="285"/>
      <c r="FG39" s="285"/>
      <c r="FH39" s="285"/>
      <c r="FI39" s="285"/>
      <c r="FJ39" s="285"/>
      <c r="FK39" s="285"/>
      <c r="FL39" s="285"/>
      <c r="FM39" s="285"/>
      <c r="FN39" s="207"/>
      <c r="FO39" s="207"/>
      <c r="FP39" s="285"/>
      <c r="FQ39" s="285"/>
      <c r="FR39" s="285"/>
      <c r="FS39" s="285"/>
      <c r="FT39" s="285"/>
      <c r="FU39" s="285"/>
      <c r="FV39" s="285"/>
      <c r="FW39" s="285"/>
      <c r="FX39" s="285"/>
      <c r="FY39" s="285"/>
      <c r="FZ39" s="285"/>
      <c r="GA39" s="207"/>
      <c r="GB39" s="207"/>
      <c r="GC39" s="285"/>
      <c r="GD39" s="285"/>
      <c r="GE39" s="285"/>
      <c r="GF39" s="285"/>
      <c r="GG39" s="285"/>
      <c r="GH39" s="285"/>
      <c r="GI39" s="285"/>
      <c r="GJ39" s="285"/>
      <c r="GK39" s="285"/>
      <c r="GL39" s="285"/>
      <c r="GM39" s="285"/>
      <c r="GN39" s="207"/>
      <c r="GO39" s="207"/>
      <c r="GP39" s="285"/>
      <c r="GQ39" s="285"/>
      <c r="GR39" s="285"/>
      <c r="GS39" s="285"/>
      <c r="GT39" s="285"/>
      <c r="GU39" s="285"/>
      <c r="GV39" s="285"/>
      <c r="GW39" s="285"/>
      <c r="GX39" s="285"/>
      <c r="GY39" s="285"/>
      <c r="GZ39" s="285"/>
      <c r="HA39" s="207"/>
      <c r="HB39" s="207"/>
      <c r="HC39" s="285"/>
      <c r="HD39" s="285"/>
      <c r="HE39" s="285"/>
      <c r="HF39" s="285"/>
      <c r="HG39" s="285"/>
      <c r="HH39" s="285"/>
      <c r="HI39" s="285"/>
      <c r="HJ39" s="285"/>
      <c r="HK39" s="285"/>
      <c r="HL39" s="285"/>
      <c r="HM39" s="285"/>
      <c r="HN39" s="207"/>
      <c r="HO39" s="207"/>
      <c r="HP39" s="285"/>
      <c r="HQ39" s="285"/>
      <c r="HR39" s="285"/>
      <c r="HS39" s="285"/>
      <c r="HT39" s="285"/>
      <c r="HU39" s="285"/>
      <c r="HV39" s="285"/>
      <c r="HW39" s="285"/>
      <c r="HX39" s="285"/>
      <c r="HY39" s="285"/>
      <c r="HZ39" s="285"/>
      <c r="IA39" s="207"/>
      <c r="IB39" s="207"/>
      <c r="IC39" s="285"/>
      <c r="ID39" s="285"/>
      <c r="IE39" s="285"/>
      <c r="IF39" s="285"/>
      <c r="IG39" s="285"/>
      <c r="IH39" s="285"/>
      <c r="II39" s="285"/>
      <c r="IJ39" s="285"/>
      <c r="IK39" s="285"/>
      <c r="IL39" s="285"/>
      <c r="IM39" s="285"/>
      <c r="IN39" s="207"/>
      <c r="IO39" s="207"/>
      <c r="IP39" s="285"/>
      <c r="IQ39" s="285"/>
      <c r="IR39" s="285"/>
      <c r="IS39" s="285"/>
      <c r="IT39" s="285"/>
      <c r="IU39" s="285"/>
      <c r="IV39" s="285"/>
    </row>
    <row r="40" spans="1:256" x14ac:dyDescent="0.2">
      <c r="A40" s="218"/>
      <c r="B40" s="219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8"/>
      <c r="N40" s="211"/>
      <c r="O40" s="211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07"/>
      <c r="AB40" s="207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07"/>
      <c r="AO40" s="207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07"/>
      <c r="BB40" s="207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07"/>
      <c r="BO40" s="207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07"/>
      <c r="CB40" s="207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07"/>
      <c r="CO40" s="207"/>
      <c r="CP40" s="285"/>
      <c r="CQ40" s="285"/>
      <c r="CR40" s="285"/>
      <c r="CS40" s="285"/>
      <c r="CT40" s="285"/>
      <c r="CU40" s="285"/>
      <c r="CV40" s="285"/>
      <c r="CW40" s="285"/>
      <c r="CX40" s="285"/>
      <c r="CY40" s="285"/>
      <c r="CZ40" s="285"/>
      <c r="DA40" s="207"/>
      <c r="DB40" s="207"/>
      <c r="DC40" s="285"/>
      <c r="DD40" s="285"/>
      <c r="DE40" s="285"/>
      <c r="DF40" s="285"/>
      <c r="DG40" s="285"/>
      <c r="DH40" s="285"/>
      <c r="DI40" s="285"/>
      <c r="DJ40" s="285"/>
      <c r="DK40" s="285"/>
      <c r="DL40" s="285"/>
      <c r="DM40" s="285"/>
      <c r="DN40" s="207"/>
      <c r="DO40" s="207"/>
      <c r="DP40" s="285"/>
      <c r="DQ40" s="285"/>
      <c r="DR40" s="285"/>
      <c r="DS40" s="285"/>
      <c r="DT40" s="285"/>
      <c r="DU40" s="285"/>
      <c r="DV40" s="285"/>
      <c r="DW40" s="285"/>
      <c r="DX40" s="285"/>
      <c r="DY40" s="285"/>
      <c r="DZ40" s="285"/>
      <c r="EA40" s="207"/>
      <c r="EB40" s="207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07"/>
      <c r="EO40" s="207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07"/>
      <c r="FB40" s="207"/>
      <c r="FC40" s="285"/>
      <c r="FD40" s="285"/>
      <c r="FE40" s="285"/>
      <c r="FF40" s="285"/>
      <c r="FG40" s="285"/>
      <c r="FH40" s="285"/>
      <c r="FI40" s="285"/>
      <c r="FJ40" s="285"/>
      <c r="FK40" s="285"/>
      <c r="FL40" s="285"/>
      <c r="FM40" s="285"/>
      <c r="FN40" s="207"/>
      <c r="FO40" s="207"/>
      <c r="FP40" s="285"/>
      <c r="FQ40" s="285"/>
      <c r="FR40" s="285"/>
      <c r="FS40" s="285"/>
      <c r="FT40" s="285"/>
      <c r="FU40" s="285"/>
      <c r="FV40" s="285"/>
      <c r="FW40" s="285"/>
      <c r="FX40" s="285"/>
      <c r="FY40" s="285"/>
      <c r="FZ40" s="285"/>
      <c r="GA40" s="207"/>
      <c r="GB40" s="207"/>
      <c r="GC40" s="285"/>
      <c r="GD40" s="285"/>
      <c r="GE40" s="285"/>
      <c r="GF40" s="285"/>
      <c r="GG40" s="285"/>
      <c r="GH40" s="285"/>
      <c r="GI40" s="285"/>
      <c r="GJ40" s="285"/>
      <c r="GK40" s="285"/>
      <c r="GL40" s="285"/>
      <c r="GM40" s="285"/>
      <c r="GN40" s="207"/>
      <c r="GO40" s="207"/>
      <c r="GP40" s="285"/>
      <c r="GQ40" s="285"/>
      <c r="GR40" s="285"/>
      <c r="GS40" s="285"/>
      <c r="GT40" s="285"/>
      <c r="GU40" s="285"/>
      <c r="GV40" s="285"/>
      <c r="GW40" s="285"/>
      <c r="GX40" s="285"/>
      <c r="GY40" s="285"/>
      <c r="GZ40" s="285"/>
      <c r="HA40" s="207"/>
      <c r="HB40" s="207"/>
      <c r="HC40" s="285"/>
      <c r="HD40" s="285"/>
      <c r="HE40" s="285"/>
      <c r="HF40" s="285"/>
      <c r="HG40" s="285"/>
      <c r="HH40" s="285"/>
      <c r="HI40" s="285"/>
      <c r="HJ40" s="285"/>
      <c r="HK40" s="285"/>
      <c r="HL40" s="285"/>
      <c r="HM40" s="285"/>
      <c r="HN40" s="207"/>
      <c r="HO40" s="207"/>
      <c r="HP40" s="285"/>
      <c r="HQ40" s="285"/>
      <c r="HR40" s="285"/>
      <c r="HS40" s="285"/>
      <c r="HT40" s="285"/>
      <c r="HU40" s="285"/>
      <c r="HV40" s="285"/>
      <c r="HW40" s="285"/>
      <c r="HX40" s="285"/>
      <c r="HY40" s="285"/>
      <c r="HZ40" s="285"/>
      <c r="IA40" s="207"/>
      <c r="IB40" s="207"/>
      <c r="IC40" s="285"/>
      <c r="ID40" s="285"/>
      <c r="IE40" s="285"/>
      <c r="IF40" s="285"/>
      <c r="IG40" s="285"/>
      <c r="IH40" s="285"/>
      <c r="II40" s="285"/>
      <c r="IJ40" s="285"/>
      <c r="IK40" s="285"/>
      <c r="IL40" s="285"/>
      <c r="IM40" s="285"/>
      <c r="IN40" s="207"/>
      <c r="IO40" s="207"/>
      <c r="IP40" s="285"/>
      <c r="IQ40" s="285"/>
      <c r="IR40" s="285"/>
      <c r="IS40" s="285"/>
      <c r="IT40" s="285"/>
      <c r="IU40" s="285"/>
      <c r="IV40" s="285"/>
    </row>
    <row r="41" spans="1:256" x14ac:dyDescent="0.2">
      <c r="A41" s="218"/>
      <c r="B41" s="219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8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8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8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8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8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8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8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8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8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8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8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8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8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8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8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8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8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8"/>
    </row>
    <row r="60" spans="1:256" x14ac:dyDescent="0.2">
      <c r="A60" s="218"/>
      <c r="B60" s="219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256" x14ac:dyDescent="0.2">
      <c r="A61" s="218"/>
      <c r="B61" s="219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8"/>
    </row>
    <row r="62" spans="1:256" x14ac:dyDescent="0.2">
      <c r="A62" s="218"/>
      <c r="B62" s="219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8"/>
    </row>
    <row r="63" spans="1:256" x14ac:dyDescent="0.2">
      <c r="A63" s="218"/>
      <c r="B63" s="219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8"/>
    </row>
    <row r="64" spans="1:256" x14ac:dyDescent="0.2">
      <c r="A64" s="218"/>
      <c r="B64" s="219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8"/>
    </row>
    <row r="65" spans="1:13" x14ac:dyDescent="0.2">
      <c r="A65" s="218"/>
      <c r="B65" s="219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8"/>
    </row>
    <row r="66" spans="1:13" x14ac:dyDescent="0.2">
      <c r="A66" s="218"/>
      <c r="B66" s="219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x14ac:dyDescent="0.2">
      <c r="A67" s="218"/>
      <c r="B67" s="219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8"/>
    </row>
    <row r="68" spans="1:13" x14ac:dyDescent="0.2">
      <c r="A68" s="218"/>
      <c r="B68" s="219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8"/>
    </row>
    <row r="69" spans="1:13" x14ac:dyDescent="0.2">
      <c r="A69" s="218"/>
      <c r="B69" s="219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8"/>
    </row>
    <row r="70" spans="1:13" ht="12" thickBot="1" x14ac:dyDescent="0.25">
      <c r="A70" s="220"/>
      <c r="B70" s="221"/>
      <c r="C70" s="300"/>
      <c r="D70" s="300"/>
      <c r="E70" s="300"/>
      <c r="F70" s="300"/>
      <c r="G70" s="300"/>
      <c r="H70" s="300"/>
      <c r="I70" s="300"/>
      <c r="J70" s="300"/>
      <c r="K70" s="300"/>
      <c r="L70" s="300"/>
      <c r="M70" s="301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2" t="s">
        <v>842</v>
      </c>
      <c r="B72" s="302"/>
      <c r="C72" s="302"/>
      <c r="D72" s="302"/>
      <c r="E72" s="30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</row>
    <row r="74" spans="1:13" x14ac:dyDescent="0.2">
      <c r="A74" s="211"/>
      <c r="B74" s="211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</row>
    <row r="75" spans="1:13" x14ac:dyDescent="0.2">
      <c r="A75" s="211"/>
      <c r="B75" s="211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</row>
    <row r="76" spans="1:13" x14ac:dyDescent="0.2">
      <c r="A76" s="211"/>
      <c r="B76" s="211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</row>
    <row r="77" spans="1:13" x14ac:dyDescent="0.2">
      <c r="A77" s="211"/>
      <c r="B77" s="211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</row>
    <row r="78" spans="1:13" x14ac:dyDescent="0.2">
      <c r="A78" s="211"/>
      <c r="B78" s="211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</row>
    <row r="79" spans="1:13" x14ac:dyDescent="0.2">
      <c r="A79" s="211"/>
      <c r="B79" s="211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</row>
    <row r="80" spans="1:13" x14ac:dyDescent="0.2">
      <c r="A80" s="211"/>
      <c r="B80" s="211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</row>
    <row r="81" spans="1:13" x14ac:dyDescent="0.2">
      <c r="A81" s="211"/>
      <c r="B81" s="211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</row>
    <row r="82" spans="1:13" x14ac:dyDescent="0.2">
      <c r="A82" s="211"/>
      <c r="B82" s="211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</row>
    <row r="83" spans="1:13" x14ac:dyDescent="0.2">
      <c r="A83" s="211"/>
      <c r="B83" s="211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</row>
    <row r="84" spans="1:13" x14ac:dyDescent="0.2">
      <c r="A84" s="211"/>
      <c r="B84" s="211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</row>
    <row r="85" spans="1:13" x14ac:dyDescent="0.2">
      <c r="A85" s="211"/>
      <c r="B85" s="211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</row>
    <row r="86" spans="1:13" x14ac:dyDescent="0.2">
      <c r="A86" s="211"/>
      <c r="B86" s="211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</row>
    <row r="87" spans="1:13" x14ac:dyDescent="0.2">
      <c r="A87" s="211"/>
      <c r="B87" s="211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</row>
    <row r="88" spans="1:13" x14ac:dyDescent="0.2">
      <c r="A88" s="211"/>
      <c r="B88" s="211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</row>
    <row r="89" spans="1:13" x14ac:dyDescent="0.2">
      <c r="A89" s="211"/>
      <c r="B89" s="211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</row>
    <row r="90" spans="1:13" x14ac:dyDescent="0.2">
      <c r="A90" s="211"/>
      <c r="B90" s="211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2018-08-24T15:19:15Z</cp:lastPrinted>
  <dcterms:created xsi:type="dcterms:W3CDTF">1997-12-04T19:04:30Z</dcterms:created>
  <dcterms:modified xsi:type="dcterms:W3CDTF">2018-12-03T19:03:16Z</dcterms:modified>
</cp:coreProperties>
</file>