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6165" windowWidth="25230" windowHeight="621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0" i="10"/>
  <c r="C11" i="10"/>
  <c r="C12" i="10"/>
  <c r="C13" i="10"/>
  <c r="C15" i="10"/>
  <c r="C16" i="10"/>
  <c r="C17" i="10"/>
  <c r="C18" i="10"/>
  <c r="C19" i="10"/>
  <c r="C20" i="10"/>
  <c r="C21" i="10"/>
  <c r="L250" i="1"/>
  <c r="L332" i="1"/>
  <c r="L254" i="1"/>
  <c r="C25" i="10"/>
  <c r="L268" i="1"/>
  <c r="L269" i="1"/>
  <c r="L349" i="1"/>
  <c r="L350" i="1"/>
  <c r="I665" i="1"/>
  <c r="I670" i="1"/>
  <c r="L211" i="1"/>
  <c r="L229" i="1"/>
  <c r="L247" i="1"/>
  <c r="F661" i="1"/>
  <c r="G661" i="1"/>
  <c r="H661" i="1"/>
  <c r="F662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C63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C120" i="2"/>
  <c r="E120" i="2"/>
  <c r="C121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F461" i="1"/>
  <c r="G461" i="1"/>
  <c r="H461" i="1"/>
  <c r="I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0" i="1"/>
  <c r="H640" i="1"/>
  <c r="G641" i="1"/>
  <c r="J641" i="1" s="1"/>
  <c r="H641" i="1"/>
  <c r="H642" i="1"/>
  <c r="G643" i="1"/>
  <c r="H643" i="1"/>
  <c r="G644" i="1"/>
  <c r="H644" i="1"/>
  <c r="G645" i="1"/>
  <c r="H645" i="1"/>
  <c r="H647" i="1"/>
  <c r="G649" i="1"/>
  <c r="J649" i="1" s="1"/>
  <c r="G650" i="1"/>
  <c r="G651" i="1"/>
  <c r="G652" i="1"/>
  <c r="H652" i="1"/>
  <c r="G653" i="1"/>
  <c r="H653" i="1"/>
  <c r="G654" i="1"/>
  <c r="H654" i="1"/>
  <c r="H655" i="1"/>
  <c r="F192" i="1"/>
  <c r="L256" i="1"/>
  <c r="L257" i="1" s="1"/>
  <c r="L271" i="1" s="1"/>
  <c r="G632" i="1" s="1"/>
  <c r="K257" i="1"/>
  <c r="K271" i="1" s="1"/>
  <c r="I257" i="1"/>
  <c r="I271" i="1" s="1"/>
  <c r="G257" i="1"/>
  <c r="G271" i="1" s="1"/>
  <c r="G164" i="2"/>
  <c r="C18" i="2"/>
  <c r="C26" i="10"/>
  <c r="L328" i="1"/>
  <c r="H660" i="1" s="1"/>
  <c r="H664" i="1" s="1"/>
  <c r="L351" i="1"/>
  <c r="I662" i="1"/>
  <c r="L290" i="1"/>
  <c r="F660" i="1" s="1"/>
  <c r="A31" i="12"/>
  <c r="C70" i="2"/>
  <c r="A40" i="12"/>
  <c r="D12" i="13"/>
  <c r="C12" i="13" s="1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E8" i="13"/>
  <c r="C8" i="13" s="1"/>
  <c r="C91" i="2"/>
  <c r="F78" i="2"/>
  <c r="F81" i="2" s="1"/>
  <c r="D31" i="2"/>
  <c r="C128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J617" i="1"/>
  <c r="E78" i="2"/>
  <c r="E81" i="2" s="1"/>
  <c r="L427" i="1"/>
  <c r="J257" i="1"/>
  <c r="J271" i="1" s="1"/>
  <c r="H112" i="1"/>
  <c r="F112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H257" i="1"/>
  <c r="H271" i="1" s="1"/>
  <c r="F664" i="1"/>
  <c r="F672" i="1" s="1"/>
  <c r="C4" i="10" s="1"/>
  <c r="I552" i="1"/>
  <c r="K549" i="1"/>
  <c r="K550" i="1"/>
  <c r="G22" i="2"/>
  <c r="K598" i="1"/>
  <c r="G647" i="1" s="1"/>
  <c r="J647" i="1" s="1"/>
  <c r="K545" i="1"/>
  <c r="J552" i="1"/>
  <c r="H552" i="1"/>
  <c r="C29" i="10"/>
  <c r="I661" i="1"/>
  <c r="H140" i="1"/>
  <c r="L401" i="1"/>
  <c r="C139" i="2" s="1"/>
  <c r="L393" i="1"/>
  <c r="A13" i="12"/>
  <c r="F22" i="13"/>
  <c r="C22" i="13" s="1"/>
  <c r="H25" i="13"/>
  <c r="C25" i="13" s="1"/>
  <c r="J651" i="1"/>
  <c r="J640" i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D5" i="13"/>
  <c r="C5" i="13" s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138" i="2"/>
  <c r="H33" i="13"/>
  <c r="C115" i="2" l="1"/>
  <c r="E33" i="13"/>
  <c r="D35" i="13" s="1"/>
  <c r="C78" i="2"/>
  <c r="C81" i="2" s="1"/>
  <c r="C16" i="13"/>
  <c r="G112" i="1"/>
  <c r="F667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660" i="1"/>
  <c r="G664" i="1" s="1"/>
  <c r="G31" i="13"/>
  <c r="G33" i="13" s="1"/>
  <c r="I338" i="1"/>
  <c r="I352" i="1" s="1"/>
  <c r="J650" i="1"/>
  <c r="L407" i="1"/>
  <c r="C140" i="2" s="1"/>
  <c r="C141" i="2" s="1"/>
  <c r="C144" i="2" s="1"/>
  <c r="C145" i="2" s="1"/>
  <c r="L571" i="1"/>
  <c r="J632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I660" i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667" i="1"/>
  <c r="G672" i="1"/>
  <c r="C5" i="10" s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C104" i="2"/>
  <c r="J652" i="1"/>
  <c r="J642" i="1"/>
  <c r="G571" i="1"/>
  <c r="I434" i="1"/>
  <c r="G434" i="1"/>
  <c r="E104" i="2"/>
  <c r="I663" i="1"/>
  <c r="C27" i="10"/>
  <c r="C28" i="10" s="1"/>
  <c r="G635" i="1"/>
  <c r="J635" i="1" s="1"/>
  <c r="C51" i="2" l="1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23" i="10"/>
  <c r="D24" i="10"/>
  <c r="D22" i="10"/>
  <c r="D19" i="10"/>
  <c r="D16" i="10"/>
  <c r="D12" i="10"/>
  <c r="D21" i="10"/>
  <c r="D25" i="10"/>
  <c r="C30" i="10"/>
  <c r="D17" i="10"/>
  <c r="D11" i="10"/>
  <c r="D15" i="10"/>
  <c r="D26" i="10"/>
  <c r="D18" i="10"/>
  <c r="D13" i="10"/>
  <c r="D20" i="10"/>
  <c r="D10" i="10"/>
  <c r="D27" i="10"/>
  <c r="I667" i="1" l="1"/>
  <c r="H656" i="1"/>
  <c r="D28" i="10"/>
  <c r="C41" i="10"/>
  <c r="D38" i="10" s="1"/>
  <c r="D37" i="10" l="1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<sst xmlns="http://schemas.openxmlformats.org/spreadsheetml/2006/main" count="3957" uniqueCount="913">
  <si>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</si>
  <si>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</si>
  <si>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</si>
  <si>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</si>
  <si>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</si>
  <si>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</si>
  <si>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</si>
  <si>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</si>
  <si>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</si>
  <si>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</si>
  <si>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</si>
  <si>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</si>
  <si>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</si>
  <si>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</si>
  <si>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</si>
  <si>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</si>
  <si>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</si>
  <si>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</si>
  <si>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</si>
  <si>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</si>
  <si>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</si>
  <si>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</si>
  <si>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</si>
  <si>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</si>
  <si>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</si>
  <si>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</si>
  <si>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</si>
  <si>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</si>
  <si>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</si>
  <si>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</si>
  <si>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</si>
  <si>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</si>
  <si>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</si>
  <si>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</si>
  <si>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</si>
  <si>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</si>
  <si>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</si>
  <si>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</si>
  <si>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</si>
  <si>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</si>
  <si>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</si>
  <si>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</si>
  <si>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</si>
  <si>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</si>
  <si>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</si>
  <si>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</si>
  <si>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</si>
  <si>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</si>
  <si>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</si>
  <si>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</si>
  <si>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</si>
  <si>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</si>
  <si>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</si>
  <si>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</si>
  <si>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</si>
  <si>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</si>
  <si>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</si>
  <si>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</si>
  <si>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</si>
  <si>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</si>
  <si>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</si>
  <si>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</si>
  <si>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</si>
  <si>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</si>
  <si>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</si>
  <si>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</si>
  <si>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</si>
  <si>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</si>
  <si>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</si>
  <si>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</si>
  <si>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</si>
  <si>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</si>
  <si>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</si>
  <si>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</si>
  <si>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</si>
  <si>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</si>
  <si>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</si>
  <si>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</si>
  <si>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</si>
  <si>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</si>
  <si>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</si>
  <si>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</si>
  <si>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</si>
  <si>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</si>
  <si>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</si>
  <si>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</si>
  <si>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</si>
  <si>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</si>
  <si>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</si>
  <si>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</si>
  <si>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</si>
  <si>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</si>
  <si>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</si>
  <si>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</si>
  <si>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</si>
  <si>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</si>
  <si>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</si>
  <si>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</si>
  <si>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</si>
  <si>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</si>
  <si>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</si>
  <si>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</si>
  <si>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</si>
  <si>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</si>
  <si>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</si>
  <si>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</si>
  <si>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</si>
  <si>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</si>
  <si>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</si>
  <si>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</si>
  <si>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</si>
  <si>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</si>
  <si>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</si>
  <si>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</si>
  <si>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</si>
  <si>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</si>
  <si>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</si>
  <si>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</si>
  <si>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</si>
  <si>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</si>
  <si>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</si>
  <si>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</si>
  <si>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</si>
  <si>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</si>
  <si>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</si>
  <si>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</si>
  <si>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</si>
  <si>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</si>
  <si>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</si>
  <si>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</si>
  <si>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</si>
  <si>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</si>
  <si>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</si>
  <si>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</si>
  <si>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</si>
  <si>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</si>
  <si>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</si>
  <si>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</si>
  <si>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</si>
  <si>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</si>
  <si>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</si>
  <si>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</si>
  <si>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</si>
  <si>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</si>
  <si>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</si>
  <si>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</si>
  <si>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</si>
  <si>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</si>
  <si>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</si>
  <si>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</si>
  <si>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</si>
  <si>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</si>
  <si>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</si>
  <si>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</si>
  <si>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</si>
  <si>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</si>
  <si>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</si>
  <si>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</si>
  <si>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</si>
  <si>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</si>
  <si>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</si>
  <si>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</si>
  <si>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</si>
  <si>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</si>
  <si>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</si>
  <si>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</si>
  <si>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</si>
  <si>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</si>
  <si>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</si>
  <si>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</si>
  <si>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</si>
  <si>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</si>
  <si>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</si>
  <si>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</si>
  <si>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</si>
  <si>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</si>
  <si>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</si>
  <si>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</si>
  <si>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</si>
  <si>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</si>
  <si>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</si>
  <si>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</si>
  <si>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</si>
  <si>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</si>
  <si>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</si>
  <si>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</si>
  <si>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</si>
  <si>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</si>
  <si>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</si>
  <si>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</si>
  <si>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</si>
  <si>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</si>
  <si>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</si>
  <si>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</si>
  <si>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</si>
  <si>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</si>
  <si>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</si>
  <si>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</si>
  <si>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</si>
  <si>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</si>
  <si>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</si>
  <si>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</si>
  <si>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</si>
  <si>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</si>
  <si>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</si>
  <si>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</si>
  <si>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</si>
  <si>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</si>
  <si>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</si>
  <si>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</si>
  <si>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</si>
  <si>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</si>
  <si>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</si>
  <si>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</si>
  <si>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</si>
  <si>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</si>
  <si>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</si>
  <si>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</si>
  <si>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</si>
  <si>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</si>
  <si>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</si>
  <si>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</si>
  <si>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</si>
  <si>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</si>
  <si>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</si>
  <si>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</si>
  <si>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</si>
  <si>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</si>
  <si>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</si>
  <si>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</si>
  <si>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</si>
  <si>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</si>
  <si>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</si>
  <si>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</si>
  <si>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</si>
  <si>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</si>
  <si>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</si>
  <si>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</si>
  <si>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</si>
  <si>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</si>
  <si>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</si>
  <si>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</si>
  <si>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</si>
  <si>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</si>
  <si>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</si>
  <si>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</si>
  <si>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</si>
  <si>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</si>
  <si>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</si>
  <si>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</si>
  <si>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</si>
  <si>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</si>
  <si>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</si>
  <si>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</si>
  <si>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</si>
  <si>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</si>
  <si>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</si>
  <si>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</si>
  <si>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</si>
  <si>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</si>
  <si>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</si>
  <si>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</si>
  <si>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</si>
  <si>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</si>
  <si>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</si>
  <si>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</si>
  <si>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</si>
  <si>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</si>
  <si>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</si>
  <si>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</si>
  <si>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</si>
  <si>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</si>
  <si>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</si>
  <si>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</si>
  <si>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</si>
  <si>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</si>
  <si>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</si>
  <si>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</si>
  <si>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</si>
  <si>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</si>
  <si>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</si>
  <si>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</si>
  <si>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</si>
  <si>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</si>
  <si>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</si>
  <si>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</si>
  <si>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</si>
  <si>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</si>
  <si>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</si>
  <si>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</si>
  <si>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</si>
  <si>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</si>
  <si>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</si>
  <si>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</si>
  <si>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</si>
  <si>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</si>
  <si>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</si>
  <si>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</si>
  <si>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</si>
  <si>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</si>
  <si>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</si>
  <si>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</si>
  <si>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</si>
  <si>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</si>
  <si>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</si>
  <si>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</si>
  <si>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</si>
  <si>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</si>
  <si>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</si>
  <si>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</si>
  <si>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</si>
  <si>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</si>
  <si>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</si>
  <si>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</si>
  <si>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</si>
  <si>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</si>
  <si>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</si>
  <si>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</si>
  <si>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</si>
  <si>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</si>
  <si>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</si>
  <si>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</si>
  <si>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</si>
  <si>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</si>
  <si>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</si>
  <si>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</si>
  <si>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</si>
  <si>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</si>
  <si>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</si>
  <si>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</si>
  <si>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</si>
  <si>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</si>
  <si>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</si>
  <si>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</si>
  <si>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</si>
  <si>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</si>
  <si>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</si>
  <si>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</si>
  <si>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</si>
  <si>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</si>
  <si>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</si>
  <si>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</si>
  <si>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</si>
  <si>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</si>
  <si>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</si>
  <si>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</si>
  <si>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</si>
  <si>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</si>
  <si>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</si>
  <si>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</si>
  <si>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</si>
  <si>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</si>
  <si>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</si>
  <si>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</si>
  <si>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</si>
  <si>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</si>
  <si>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</si>
  <si>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</si>
  <si>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</si>
  <si>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</si>
  <si>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</si>
  <si>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</si>
  <si>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</si>
  <si>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</si>
  <si>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</si>
  <si>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</si>
  <si>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</si>
  <si>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</si>
  <si>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</si>
  <si>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</si>
  <si>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</si>
  <si>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</si>
  <si>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</si>
  <si>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</si>
  <si>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</si>
  <si>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</si>
  <si>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</si>
  <si>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</si>
  <si>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</si>
  <si>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</si>
  <si>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</si>
  <si>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</si>
  <si>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</si>
  <si>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</si>
  <si>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</si>
  <si>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</si>
  <si>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</si>
  <si>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</si>
  <si>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</si>
  <si>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</si>
  <si>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</si>
  <si>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</si>
  <si>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</si>
  <si>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</si>
  <si>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</si>
  <si>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</si>
  <si>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</si>
  <si>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</si>
  <si>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</si>
  <si>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</si>
  <si>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</si>
  <si>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</si>
  <si>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</si>
  <si>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</si>
  <si>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</si>
  <si>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</si>
  <si>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</si>
  <si>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</si>
  <si>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</si>
  <si>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</si>
  <si>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</si>
  <si>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</si>
  <si>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</si>
  <si>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</si>
  <si>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</si>
  <si>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</si>
  <si>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</si>
  <si>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</si>
  <si>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</si>
  <si>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</si>
  <si>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</si>
  <si>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</si>
  <si>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</si>
  <si>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</si>
  <si>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</si>
  <si>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</si>
  <si>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</si>
  <si>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</si>
  <si>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</si>
  <si>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</si>
  <si>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</si>
  <si>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</si>
  <si>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</si>
  <si>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</si>
  <si>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</si>
  <si>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</si>
  <si>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</si>
  <si>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</si>
  <si>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</si>
  <si>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</si>
  <si>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</si>
  <si>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</si>
  <si>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</si>
  <si>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</si>
  <si>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</si>
  <si>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</si>
  <si>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</si>
  <si>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</si>
  <si>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</si>
  <si>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</si>
  <si>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</si>
  <si>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</si>
  <si>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</si>
  <si>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</si>
  <si>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</si>
  <si>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</si>
  <si>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</si>
  <si>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</si>
  <si>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</si>
  <si>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</si>
  <si>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</si>
  <si>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</si>
  <si>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</si>
  <si>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</si>
  <si>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</si>
  <si>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</si>
  <si>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</si>
  <si>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</si>
  <si>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</si>
  <si>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</si>
  <si>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</si>
  <si>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</si>
  <si>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</si>
  <si>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</si>
  <si>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</si>
  <si>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</si>
  <si>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</si>
  <si>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</si>
  <si>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</si>
  <si>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</si>
  <si>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</si>
  <si>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</si>
  <si>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</si>
  <si>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</si>
  <si>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</si>
  <si>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</si>
  <si>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</si>
  <si>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</si>
  <si>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</si>
  <si>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</si>
  <si>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</si>
  <si>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</si>
  <si>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</si>
  <si>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</si>
  <si>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</si>
  <si>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</si>
  <si>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</si>
  <si>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</si>
  <si>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</si>
  <si>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</si>
  <si>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</si>
  <si>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</si>
  <si>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</si>
  <si>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</si>
  <si>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</si>
  <si>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</si>
  <si>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</si>
  <si>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</si>
  <si>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</si>
  <si>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</si>
  <si>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</si>
  <si>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</si>
  <si>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</si>
  <si>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</si>
  <si>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</si>
  <si>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</si>
  <si>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</si>
  <si>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</si>
  <si>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</si>
  <si>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</si>
  <si>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</si>
  <si>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</si>
  <si>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</si>
  <si>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</si>
  <si>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</si>
  <si>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</si>
  <si>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</si>
  <si>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</si>
  <si>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</si>
  <si>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</si>
  <si>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</si>
  <si>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</si>
  <si>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</si>
  <si>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</si>
  <si>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</si>
  <si>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</si>
  <si>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</si>
  <si>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</si>
  <si>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</si>
  <si>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</si>
  <si>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</si>
  <si>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</si>
  <si>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</si>
  <si>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</si>
  <si>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</si>
  <si>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</si>
  <si>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</si>
  <si>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</si>
  <si>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</si>
  <si>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</si>
  <si>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</si>
  <si>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</si>
  <si>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</si>
  <si>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</si>
  <si>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</si>
  <si>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</si>
  <si>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</si>
  <si>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</si>
  <si>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</si>
  <si>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</si>
  <si>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</si>
  <si>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</si>
  <si>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</si>
  <si>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</si>
  <si>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</si>
  <si>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</si>
  <si>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</si>
  <si>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</si>
  <si>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</si>
  <si>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</si>
  <si>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</si>
  <si>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</si>
  <si>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</si>
  <si>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</si>
  <si>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</si>
  <si>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</si>
  <si>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</si>
  <si>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</si>
  <si>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</si>
  <si>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</si>
  <si>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</si>
  <si>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</si>
  <si>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</si>
  <si>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</si>
  <si>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</si>
  <si>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</si>
  <si>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</si>
  <si>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</si>
  <si>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</si>
  <si>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</si>
  <si>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</si>
  <si>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</si>
  <si>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</si>
  <si>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</si>
  <si>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</si>
  <si>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</si>
  <si>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</si>
  <si>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</si>
  <si>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</si>
  <si>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</si>
  <si>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</si>
  <si>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</si>
  <si>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</si>
  <si>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</si>
  <si>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</si>
  <si>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</si>
  <si>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</si>
  <si>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</si>
  <si>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</si>
  <si>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</si>
  <si>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</si>
  <si>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</si>
  <si>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</si>
  <si>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</si>
  <si>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</si>
  <si>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</si>
  <si>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</si>
  <si>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</si>
  <si>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</si>
  <si>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</si>
  <si>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</si>
  <si>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</si>
  <si>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</si>
  <si>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</si>
  <si>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</si>
  <si>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</si>
  <si>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</si>
  <si>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</si>
  <si>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</si>
  <si>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</si>
  <si>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</si>
  <si>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</si>
  <si>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</si>
  <si>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</si>
  <si>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</si>
  <si>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</si>
  <si>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</si>
  <si>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</si>
  <si>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</si>
  <si>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</si>
  <si>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</si>
  <si>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</si>
  <si>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</si>
  <si>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</si>
  <si>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</si>
  <si>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</si>
  <si>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</si>
  <si>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</si>
  <si>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</si>
  <si>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</si>
  <si>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</si>
  <si>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</si>
  <si>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</si>
  <si>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</si>
  <si>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</si>
  <si>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</si>
  <si>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</si>
  <si>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</si>
  <si>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</si>
  <si>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</si>
  <si>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</si>
  <si>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</si>
  <si>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</si>
  <si>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</si>
  <si>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</si>
  <si>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</si>
  <si>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</si>
  <si>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</si>
  <si>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</si>
  <si>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</si>
  <si>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</si>
  <si>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</si>
  <si>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</si>
  <si>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</si>
  <si>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</si>
  <si>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</si>
  <si>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</si>
  <si>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</si>
  <si>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</si>
  <si>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</si>
  <si>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</si>
  <si>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</si>
  <si>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</si>
  <si>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</si>
  <si>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</si>
  <si>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</si>
  <si>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</si>
  <si>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</si>
  <si>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</si>
  <si>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</si>
  <si>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</si>
  <si>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</si>
  <si>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</si>
  <si>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</si>
  <si>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</si>
  <si>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</si>
  <si>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</si>
  <si>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</si>
  <si>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</si>
  <si>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</si>
  <si>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</si>
  <si>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</si>
  <si>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</si>
  <si>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</si>
  <si>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</si>
  <si>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</si>
  <si>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</si>
  <si>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</si>
  <si>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</si>
  <si>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</si>
  <si>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</si>
  <si>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</si>
  <si>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</si>
  <si>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</si>
  <si>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</si>
  <si>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</si>
  <si>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</si>
  <si>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</si>
  <si>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</si>
  <si>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</si>
  <si>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</si>
  <si>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</si>
  <si>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</si>
  <si>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</si>
  <si>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</si>
  <si>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</si>
  <si>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</si>
  <si>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</si>
  <si>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</si>
  <si>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</si>
  <si>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</si>
  <si>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</si>
  <si>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</si>
  <si>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</si>
  <si>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</si>
  <si>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</si>
  <si>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</si>
  <si>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</si>
  <si>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</si>
  <si>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</si>
  <si>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</si>
  <si>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</si>
  <si>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</si>
  <si>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</si>
  <si>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</si>
  <si>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</si>
  <si>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</si>
  <si>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</si>
  <si>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</si>
  <si>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</si>
  <si>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</si>
  <si>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</si>
  <si>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</si>
  <si>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</si>
  <si>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</si>
  <si>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</si>
  <si>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</si>
  <si>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</si>
  <si>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</si>
  <si>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</si>
  <si>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</si>
  <si>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</si>
  <si>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</si>
  <si>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</si>
  <si>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</si>
  <si>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</si>
  <si>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</si>
  <si>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</si>
  <si>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</si>
  <si>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</si>
  <si>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</si>
  <si>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</si>
  <si>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</si>
  <si>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</si>
  <si>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</si>
  <si>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</si>
  <si>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</si>
  <si>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</si>
  <si>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</si>
  <si>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</si>
  <si>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</si>
  <si>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</si>
  <si>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</si>
  <si>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</si>
  <si>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</si>
  <si>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</si>
  <si>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</si>
  <si>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</si>
  <si>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</si>
  <si>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</si>
  <si>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</si>
  <si>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</si>
  <si>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</si>
  <si>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</si>
  <si>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</si>
  <si>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</si>
  <si>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</si>
  <si>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</si>
  <si>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</si>
  <si>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</si>
  <si>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</si>
  <si>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</si>
  <si>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</si>
  <si>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</si>
  <si>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</si>
  <si>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</si>
  <si>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</si>
  <si>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</si>
  <si>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</si>
  <si>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</si>
  <si>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</si>
  <si>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</si>
  <si>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</si>
  <si>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</si>
  <si>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</si>
  <si>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</si>
  <si>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</si>
  <si>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</si>
  <si>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</si>
  <si>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</si>
  <si>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</si>
  <si>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</si>
  <si>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</si>
  <si>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</si>
  <si>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</si>
  <si>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</si>
  <si>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</si>
  <si>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</si>
  <si>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</si>
  <si>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</si>
  <si>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</si>
  <si>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</si>
  <si>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</si>
  <si>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</si>
  <si>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</si>
  <si>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</si>
  <si>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</si>
  <si>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</si>
  <si>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</si>
  <si>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</si>
  <si>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</si>
  <si>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</si>
  <si>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</si>
  <si>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</si>
  <si>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</si>
  <si>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</si>
  <si>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</si>
  <si>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</si>
  <si>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</si>
  <si>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</si>
  <si>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</si>
  <si>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</si>
  <si>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</si>
  <si>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</si>
  <si>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</si>
  <si>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</si>
  <si>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</si>
  <si>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</si>
  <si>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</si>
  <si>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</si>
  <si>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</si>
  <si>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</si>
  <si>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</si>
  <si>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</si>
  <si>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</si>
  <si>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</si>
  <si>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</si>
  <si>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</si>
  <si>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</si>
  <si>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</si>
  <si>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</si>
  <si>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</si>
  <si>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</si>
  <si>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</si>
  <si>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</si>
  <si>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</si>
  <si>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</si>
  <si>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</si>
  <si>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</si>
  <si>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</si>
  <si>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</si>
  <si>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</si>
  <si>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</si>
  <si>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</si>
  <si>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</si>
  <si>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</si>
  <si>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</si>
  <si>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</si>
  <si>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</si>
  <si>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</si>
  <si>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</si>
  <si>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</si>
  <si>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</si>
  <si>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</si>
  <si>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</si>
  <si>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</si>
  <si>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</si>
  <si>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</si>
  <si>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</si>
  <si>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</si>
  <si>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</si>
  <si>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</si>
  <si>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</si>
  <si>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</si>
  <si>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</si>
  <si>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</si>
  <si>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</si>
  <si>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</si>
  <si>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</si>
  <si>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</si>
  <si>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</si>
  <si>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</si>
  <si>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Hudson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</si>
</sst>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5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267</v>
      </c>
      <c r="C2" s="21">
        <v>267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2163169.98</v>
      </c>
      <c r="G9" s="18">
        <v>94117.68</v>
      </c>
      <c r="H9" s="18">
        <v>5777.4100000000326</v>
      </c>
      <c r="I9" s="18"/>
      <c r="J9" s="67">
        <f>SUM(I439)</f>
        <v>621973.81999999995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354483.11</v>
      </c>
      <c r="G12" s="18">
        <v>23595.41</v>
      </c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219125.07</v>
      </c>
      <c r="G13" s="18"/>
      <c r="H13" s="18">
        <v>353714.88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2213.96</v>
      </c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823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2739815.1199999996</v>
      </c>
      <c r="G19" s="41">
        <f>SUM(G9:G18)</f>
        <v>117713.09</v>
      </c>
      <c r="H19" s="41">
        <f>SUM(H9:H18)</f>
        <v>359492.29000000004</v>
      </c>
      <c r="I19" s="41">
        <f>SUM(I9:I18)</f>
        <v>0</v>
      </c>
      <c r="J19" s="41">
        <f>SUM(J9:J18)</f>
        <v>621973.81999999995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>
        <v>810.09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439019.54</v>
      </c>
      <c r="G24" s="18"/>
      <c r="H24" s="18">
        <v>2086.48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74206.23</v>
      </c>
      <c r="G28" s="18">
        <v>32123.9</v>
      </c>
      <c r="H28" s="18">
        <v>5270.04</v>
      </c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1506284.4</v>
      </c>
      <c r="G29" s="18">
        <v>4301.17</v>
      </c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2019510.17</v>
      </c>
      <c r="G32" s="41">
        <f>SUM(G22:G31)</f>
        <v>37235.159999999996</v>
      </c>
      <c r="H32" s="41">
        <f>SUM(H22:H31)</f>
        <v>7356.52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823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100000</v>
      </c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>
        <v>80477.929999999993</v>
      </c>
      <c r="H48" s="18">
        <v>352135.77</v>
      </c>
      <c r="I48" s="18"/>
      <c r="J48" s="13">
        <f>SUM(I459)</f>
        <v>621973.81999999995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360939.59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258542.36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720304.95</v>
      </c>
      <c r="G51" s="41">
        <f>SUM(G35:G50)</f>
        <v>80477.929999999993</v>
      </c>
      <c r="H51" s="41">
        <f>SUM(H35:H50)</f>
        <v>352135.77</v>
      </c>
      <c r="I51" s="41">
        <f>SUM(I35:I50)</f>
        <v>0</v>
      </c>
      <c r="J51" s="41">
        <f>SUM(J35:J50)</f>
        <v>621973.81999999995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2739815.12</v>
      </c>
      <c r="G52" s="41">
        <f>G51+G32</f>
        <v>117713.09</v>
      </c>
      <c r="H52" s="41">
        <f>H51+H32</f>
        <v>359492.29000000004</v>
      </c>
      <c r="I52" s="41">
        <f>I51+I32</f>
        <v>0</v>
      </c>
      <c r="J52" s="41">
        <f>J51+J32</f>
        <v>621973.81999999995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32865628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32865628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68543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115213.09</v>
      </c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183756.09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23263.27</v>
      </c>
      <c r="G96" s="18">
        <v>559.69000000000005</v>
      </c>
      <c r="H96" s="18">
        <v>2189.62</v>
      </c>
      <c r="I96" s="18"/>
      <c r="J96" s="18">
        <v>13829.43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763736.08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9456.19</v>
      </c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26765.5</v>
      </c>
      <c r="G101" s="18"/>
      <c r="H101" s="18">
        <v>9000</v>
      </c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175000</v>
      </c>
      <c r="G102" s="18">
        <v>30727.15</v>
      </c>
      <c r="H102" s="18"/>
      <c r="I102" s="18"/>
      <c r="J102" s="18">
        <v>130204.04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>
        <v>146816.71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88630.52</v>
      </c>
      <c r="G110" s="18"/>
      <c r="H110" s="18">
        <v>797</v>
      </c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323115.48</v>
      </c>
      <c r="G111" s="41">
        <f>SUM(G96:G110)</f>
        <v>795022.91999999993</v>
      </c>
      <c r="H111" s="41">
        <f>SUM(H96:H110)</f>
        <v>158803.32999999999</v>
      </c>
      <c r="I111" s="41">
        <f>SUM(I96:I110)</f>
        <v>0</v>
      </c>
      <c r="J111" s="41">
        <f>SUM(J96:J110)</f>
        <v>144033.47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33372499.57</v>
      </c>
      <c r="G112" s="41">
        <f>G60+G111</f>
        <v>795022.91999999993</v>
      </c>
      <c r="H112" s="41">
        <f>H60+H79+H94+H111</f>
        <v>158803.32999999999</v>
      </c>
      <c r="I112" s="41">
        <f>I60+I111</f>
        <v>0</v>
      </c>
      <c r="J112" s="41">
        <f>J60+J111</f>
        <v>144033.47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8053312.4400000004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45">
        <v>6172347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54602.35</v>
      </c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14280261.790000001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403328.94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310671.82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169007.23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2244.4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19335.77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885252.39</v>
      </c>
      <c r="G136" s="41">
        <f>SUM(G123:G135)</f>
        <v>19335.77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15165514.180000002</v>
      </c>
      <c r="G140" s="41">
        <f>G121+SUM(G136:G137)</f>
        <v>19335.77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551784.02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66731.75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133422.39000000001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>
        <v>79750.58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334275.28000000003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888520.63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299140.94</v>
      </c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>
        <v>5909.6</v>
      </c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299140.94</v>
      </c>
      <c r="G162" s="41">
        <f>SUM(G150:G161)</f>
        <v>334275.28000000003</v>
      </c>
      <c r="H162" s="41">
        <f>SUM(H150:H161)</f>
        <v>1726118.9700000002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299140.94</v>
      </c>
      <c r="G169" s="41">
        <f>G147+G162+SUM(G163:G168)</f>
        <v>334275.28000000003</v>
      </c>
      <c r="H169" s="41">
        <f>H147+H162+SUM(H163:H168)</f>
        <v>1726118.9700000002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35523.97</v>
      </c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35523.97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157676</v>
      </c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157676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193199.97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49030354.659999996</v>
      </c>
      <c r="G193" s="47">
        <f>G112+G140+G169+G192</f>
        <v>1148633.97</v>
      </c>
      <c r="H193" s="47">
        <f>H112+H140+H169+H192</f>
        <v>1884922.3000000003</v>
      </c>
      <c r="I193" s="47">
        <f>I112+I140+I169+I192</f>
        <v>0</v>
      </c>
      <c r="J193" s="47">
        <f>J112+J140+J192</f>
        <v>194033.47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4257806.0999999996</v>
      </c>
      <c r="G197" s="18">
        <v>2400283.0399999996</v>
      </c>
      <c r="H197" s="18">
        <v>105974.47</v>
      </c>
      <c r="I197" s="18">
        <v>246234.49</v>
      </c>
      <c r="J197" s="18">
        <v>45317.94</v>
      </c>
      <c r="K197" s="18">
        <v>742</v>
      </c>
      <c r="L197" s="19">
        <f>SUM(F197:K197)</f>
        <v>7056358.0399999991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2064876.44</v>
      </c>
      <c r="G198" s="18">
        <v>785910.42999999993</v>
      </c>
      <c r="H198" s="18">
        <v>584623.75</v>
      </c>
      <c r="I198" s="18">
        <v>18957.52</v>
      </c>
      <c r="J198" s="18">
        <v>16644.349999999999</v>
      </c>
      <c r="K198" s="18"/>
      <c r="L198" s="19">
        <f>SUM(F198:K198)</f>
        <v>3471012.49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6950</v>
      </c>
      <c r="G200" s="18">
        <v>1894.24</v>
      </c>
      <c r="H200" s="18"/>
      <c r="I200" s="18"/>
      <c r="J200" s="18"/>
      <c r="K200" s="18"/>
      <c r="L200" s="19">
        <f>SUM(F200:K200)</f>
        <v>8844.24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1130356.06</v>
      </c>
      <c r="G202" s="18">
        <v>532352.79</v>
      </c>
      <c r="H202" s="18">
        <v>97958.62999999999</v>
      </c>
      <c r="I202" s="18">
        <v>25352.440000000002</v>
      </c>
      <c r="J202" s="18">
        <v>2104.85</v>
      </c>
      <c r="K202" s="18">
        <v>267.77</v>
      </c>
      <c r="L202" s="19">
        <f t="shared" ref="L202:L208" si="0">SUM(F202:K202)</f>
        <v>1788392.54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271935.93</v>
      </c>
      <c r="G203" s="18">
        <v>177253.12</v>
      </c>
      <c r="H203" s="18">
        <v>84860.9</v>
      </c>
      <c r="I203" s="18">
        <v>58338.130000000005</v>
      </c>
      <c r="J203" s="18">
        <v>160150.28</v>
      </c>
      <c r="K203" s="18">
        <v>442</v>
      </c>
      <c r="L203" s="19">
        <f t="shared" si="0"/>
        <v>752980.36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178198.19</v>
      </c>
      <c r="G204" s="18">
        <v>82197.52</v>
      </c>
      <c r="H204" s="18">
        <v>42875.26</v>
      </c>
      <c r="I204" s="18">
        <v>8653.5300000000007</v>
      </c>
      <c r="J204" s="18">
        <v>766.06</v>
      </c>
      <c r="K204" s="18">
        <v>10758.71</v>
      </c>
      <c r="L204" s="19">
        <f t="shared" si="0"/>
        <v>323449.27000000008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787307.71</v>
      </c>
      <c r="G205" s="18">
        <v>401763.78</v>
      </c>
      <c r="H205" s="18">
        <v>19750.86</v>
      </c>
      <c r="I205" s="18">
        <v>10419.709999999999</v>
      </c>
      <c r="J205" s="18">
        <v>901.83</v>
      </c>
      <c r="K205" s="18">
        <v>5369</v>
      </c>
      <c r="L205" s="19">
        <f t="shared" si="0"/>
        <v>1225512.8900000001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210117.48</v>
      </c>
      <c r="G206" s="18">
        <v>115908.47</v>
      </c>
      <c r="H206" s="18">
        <v>33999.410000000003</v>
      </c>
      <c r="I206" s="18">
        <v>5834.87</v>
      </c>
      <c r="J206" s="18">
        <v>1814.37</v>
      </c>
      <c r="K206" s="18"/>
      <c r="L206" s="19">
        <f t="shared" si="0"/>
        <v>367674.6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825401.52999999991</v>
      </c>
      <c r="G207" s="18">
        <v>480328.47</v>
      </c>
      <c r="H207" s="18">
        <v>759739.44</v>
      </c>
      <c r="I207" s="18">
        <v>463504.07</v>
      </c>
      <c r="J207" s="18">
        <v>56438.19</v>
      </c>
      <c r="K207" s="18"/>
      <c r="L207" s="19">
        <f t="shared" si="0"/>
        <v>2585411.6999999997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822262.32000000007</v>
      </c>
      <c r="I208" s="18"/>
      <c r="J208" s="18"/>
      <c r="K208" s="18"/>
      <c r="L208" s="19">
        <f t="shared" si="0"/>
        <v>822262.32000000007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>
        <v>68730.2</v>
      </c>
      <c r="I209" s="18">
        <v>94620.31</v>
      </c>
      <c r="J209" s="18">
        <v>114064.53</v>
      </c>
      <c r="K209" s="18">
        <v>382.82</v>
      </c>
      <c r="L209" s="19">
        <f>SUM(F209:K209)</f>
        <v>277797.86000000004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9732949.4399999995</v>
      </c>
      <c r="G211" s="41">
        <f t="shared" si="1"/>
        <v>4977891.8599999994</v>
      </c>
      <c r="H211" s="41">
        <f t="shared" si="1"/>
        <v>2620775.2400000002</v>
      </c>
      <c r="I211" s="41">
        <f t="shared" si="1"/>
        <v>931915.07000000007</v>
      </c>
      <c r="J211" s="41">
        <f t="shared" si="1"/>
        <v>398202.4</v>
      </c>
      <c r="K211" s="41">
        <f t="shared" si="1"/>
        <v>17962.3</v>
      </c>
      <c r="L211" s="41">
        <f t="shared" si="1"/>
        <v>18679696.309999999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>
        <v>3149695.6199999996</v>
      </c>
      <c r="G215" s="18">
        <v>1770840.31</v>
      </c>
      <c r="H215" s="18">
        <v>50937.21</v>
      </c>
      <c r="I215" s="18">
        <v>101147.32999999999</v>
      </c>
      <c r="J215" s="18">
        <v>46367.27</v>
      </c>
      <c r="K215" s="18">
        <v>1877</v>
      </c>
      <c r="L215" s="19">
        <f>SUM(F215:K215)</f>
        <v>5120864.7399999993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>
        <v>960634.11</v>
      </c>
      <c r="G216" s="18">
        <v>448200.74</v>
      </c>
      <c r="H216" s="18">
        <v>483669.13</v>
      </c>
      <c r="I216" s="18">
        <v>1681.74</v>
      </c>
      <c r="J216" s="18">
        <v>8366.5400000000009</v>
      </c>
      <c r="K216" s="18">
        <v>265</v>
      </c>
      <c r="L216" s="19">
        <f>SUM(F216:K216)</f>
        <v>1902817.26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>
        <v>39000</v>
      </c>
      <c r="G217" s="18">
        <v>13762.14</v>
      </c>
      <c r="H217" s="18"/>
      <c r="I217" s="18">
        <v>13529.68</v>
      </c>
      <c r="J217" s="18">
        <v>758.17</v>
      </c>
      <c r="K217" s="18"/>
      <c r="L217" s="19">
        <f>SUM(F217:K217)</f>
        <v>67049.990000000005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>
        <v>63283.01</v>
      </c>
      <c r="G218" s="18">
        <v>15201.56</v>
      </c>
      <c r="H218" s="18">
        <v>15100.52</v>
      </c>
      <c r="I218" s="18">
        <v>8996.2999999999993</v>
      </c>
      <c r="J218" s="145">
        <v>2599</v>
      </c>
      <c r="K218" s="18">
        <v>1450</v>
      </c>
      <c r="L218" s="19">
        <f>SUM(F218:K218)</f>
        <v>106630.39000000001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>
        <v>703632.78</v>
      </c>
      <c r="G220" s="18">
        <v>397200.29000000004</v>
      </c>
      <c r="H220" s="18">
        <v>60430.25</v>
      </c>
      <c r="I220" s="18">
        <v>8162.19</v>
      </c>
      <c r="J220" s="18">
        <v>978.87</v>
      </c>
      <c r="K220" s="18">
        <v>167.27</v>
      </c>
      <c r="L220" s="19">
        <f t="shared" ref="L220:L226" si="2">SUM(F220:K220)</f>
        <v>1170571.6500000001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>
        <v>115183.05</v>
      </c>
      <c r="G221" s="18">
        <v>87956.5</v>
      </c>
      <c r="H221" s="18">
        <v>42622.54</v>
      </c>
      <c r="I221" s="18">
        <v>31289.79</v>
      </c>
      <c r="J221" s="18">
        <v>104736.54000000001</v>
      </c>
      <c r="K221" s="18">
        <v>1006</v>
      </c>
      <c r="L221" s="19">
        <f t="shared" si="2"/>
        <v>382794.42000000004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>
        <v>122387.64</v>
      </c>
      <c r="G222" s="18">
        <v>57987.15</v>
      </c>
      <c r="H222" s="18">
        <v>26973.16</v>
      </c>
      <c r="I222" s="18">
        <v>5584.12</v>
      </c>
      <c r="J222" s="18">
        <v>485.16</v>
      </c>
      <c r="K222" s="18">
        <v>6719.6</v>
      </c>
      <c r="L222" s="19">
        <f t="shared" si="2"/>
        <v>220136.83000000002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>
        <v>430783.92</v>
      </c>
      <c r="G223" s="18">
        <v>246528.43</v>
      </c>
      <c r="H223" s="18">
        <v>12544.19</v>
      </c>
      <c r="I223" s="18">
        <v>12077.43</v>
      </c>
      <c r="J223" s="18"/>
      <c r="K223" s="18">
        <v>645</v>
      </c>
      <c r="L223" s="19">
        <f t="shared" si="2"/>
        <v>702578.97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>
        <v>130708</v>
      </c>
      <c r="G224" s="18">
        <v>72103</v>
      </c>
      <c r="H224" s="18">
        <v>21150.05</v>
      </c>
      <c r="I224" s="18">
        <v>3629.7</v>
      </c>
      <c r="J224" s="18">
        <v>1128.67</v>
      </c>
      <c r="K224" s="18"/>
      <c r="L224" s="19">
        <f t="shared" si="2"/>
        <v>228719.42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>
        <v>453734.81000000006</v>
      </c>
      <c r="G225" s="18">
        <v>263364.12</v>
      </c>
      <c r="H225" s="18">
        <v>224368.98</v>
      </c>
      <c r="I225" s="18">
        <v>222857.87</v>
      </c>
      <c r="J225" s="18">
        <v>16629.84</v>
      </c>
      <c r="K225" s="18"/>
      <c r="L225" s="19">
        <f t="shared" si="2"/>
        <v>1180955.6200000001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548319.24</v>
      </c>
      <c r="I226" s="18"/>
      <c r="J226" s="18"/>
      <c r="K226" s="18"/>
      <c r="L226" s="19">
        <f t="shared" si="2"/>
        <v>548319.24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>
        <v>29208.82</v>
      </c>
      <c r="I227" s="18">
        <v>61350.82</v>
      </c>
      <c r="J227" s="18">
        <v>46931.43</v>
      </c>
      <c r="K227" s="18">
        <v>238.14</v>
      </c>
      <c r="L227" s="19">
        <f>SUM(F227:K227)</f>
        <v>137729.21000000002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6169042.9399999995</v>
      </c>
      <c r="G229" s="41">
        <f>SUM(G215:G228)</f>
        <v>3373144.24</v>
      </c>
      <c r="H229" s="41">
        <f>SUM(H215:H228)</f>
        <v>1515324.09</v>
      </c>
      <c r="I229" s="41">
        <f>SUM(I215:I228)</f>
        <v>470306.97000000003</v>
      </c>
      <c r="J229" s="41">
        <f>SUM(J215:J228)</f>
        <v>228981.49000000002</v>
      </c>
      <c r="K229" s="41">
        <f t="shared" si="3"/>
        <v>12368.01</v>
      </c>
      <c r="L229" s="41">
        <f t="shared" si="3"/>
        <v>11769167.74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4097556.2600000002</v>
      </c>
      <c r="G233" s="18">
        <v>2286814.09</v>
      </c>
      <c r="H233" s="18">
        <v>107641.22</v>
      </c>
      <c r="I233" s="18">
        <v>189868.47</v>
      </c>
      <c r="J233" s="18">
        <v>83066.59</v>
      </c>
      <c r="K233" s="18">
        <v>9344</v>
      </c>
      <c r="L233" s="19">
        <f>SUM(F233:K233)</f>
        <v>6774290.629999999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1205104.08</v>
      </c>
      <c r="G234" s="18">
        <v>429015.75</v>
      </c>
      <c r="H234" s="18">
        <v>589162.64</v>
      </c>
      <c r="I234" s="18">
        <v>5026.8500000000004</v>
      </c>
      <c r="J234" s="18">
        <v>2222.04</v>
      </c>
      <c r="K234" s="18"/>
      <c r="L234" s="19">
        <f>SUM(F234:K234)</f>
        <v>2230531.3600000003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1026568.7</v>
      </c>
      <c r="G235" s="18">
        <v>567830.04</v>
      </c>
      <c r="H235" s="18">
        <v>103748.68</v>
      </c>
      <c r="I235" s="18">
        <v>110326.64</v>
      </c>
      <c r="J235" s="18">
        <v>15249</v>
      </c>
      <c r="K235" s="18">
        <v>2763</v>
      </c>
      <c r="L235" s="19">
        <f>SUM(F235:K235)</f>
        <v>1826486.0599999998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251220.42</v>
      </c>
      <c r="G236" s="18">
        <v>45390.79</v>
      </c>
      <c r="H236" s="18">
        <v>180815.04</v>
      </c>
      <c r="I236" s="18">
        <v>60983.33</v>
      </c>
      <c r="J236" s="18">
        <v>26410.01</v>
      </c>
      <c r="K236" s="18">
        <v>16240</v>
      </c>
      <c r="L236" s="19">
        <f>SUM(F236:K236)</f>
        <v>581059.59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819569.52</v>
      </c>
      <c r="G238" s="18">
        <v>464633.51</v>
      </c>
      <c r="H238" s="18">
        <v>120881.55</v>
      </c>
      <c r="I238" s="18">
        <v>17702.43</v>
      </c>
      <c r="J238" s="18">
        <v>2933.74</v>
      </c>
      <c r="K238" s="18">
        <v>1582.96</v>
      </c>
      <c r="L238" s="19">
        <f t="shared" ref="L238:L244" si="4">SUM(F238:K238)</f>
        <v>1427303.71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188920.51</v>
      </c>
      <c r="G239" s="18">
        <v>136161.5</v>
      </c>
      <c r="H239" s="18">
        <v>59817.3</v>
      </c>
      <c r="I239" s="18">
        <v>29429.53</v>
      </c>
      <c r="J239" s="18">
        <v>31267.29</v>
      </c>
      <c r="K239" s="18"/>
      <c r="L239" s="19">
        <f t="shared" si="4"/>
        <v>445596.12999999995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165911.04999999999</v>
      </c>
      <c r="G240" s="18">
        <v>77295.69</v>
      </c>
      <c r="H240" s="18">
        <v>38683.33</v>
      </c>
      <c r="I240" s="18">
        <v>7877.45</v>
      </c>
      <c r="J240" s="18">
        <v>692.77</v>
      </c>
      <c r="K240" s="18">
        <v>9682.4599999999991</v>
      </c>
      <c r="L240" s="19">
        <f t="shared" si="4"/>
        <v>300142.75000000006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714031.34</v>
      </c>
      <c r="G241" s="18">
        <v>417530.9</v>
      </c>
      <c r="H241" s="18">
        <v>39309.360000000001</v>
      </c>
      <c r="I241" s="18">
        <v>1088.71</v>
      </c>
      <c r="J241" s="18"/>
      <c r="K241" s="18">
        <v>5584</v>
      </c>
      <c r="L241" s="19">
        <f t="shared" si="4"/>
        <v>1177544.31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>
        <v>188835.74</v>
      </c>
      <c r="G242" s="18">
        <v>104168.68</v>
      </c>
      <c r="H242" s="18">
        <v>30555.78</v>
      </c>
      <c r="I242" s="18">
        <v>5243.89</v>
      </c>
      <c r="J242" s="18">
        <v>1630.61</v>
      </c>
      <c r="K242" s="18"/>
      <c r="L242" s="19">
        <f t="shared" si="4"/>
        <v>330434.69999999995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625660.14</v>
      </c>
      <c r="G243" s="18">
        <v>323967.25</v>
      </c>
      <c r="H243" s="18">
        <v>449534.13</v>
      </c>
      <c r="I243" s="18">
        <v>399793.87</v>
      </c>
      <c r="J243" s="18">
        <v>37350.370000000003</v>
      </c>
      <c r="K243" s="18"/>
      <c r="L243" s="19">
        <f t="shared" si="4"/>
        <v>1836305.7600000002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758889.39999999991</v>
      </c>
      <c r="I244" s="18"/>
      <c r="J244" s="18"/>
      <c r="K244" s="18"/>
      <c r="L244" s="19">
        <f t="shared" si="4"/>
        <v>758889.39999999991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>
        <v>32707.699999999997</v>
      </c>
      <c r="I245" s="18">
        <v>86194.02</v>
      </c>
      <c r="J245" s="18">
        <v>36630.49</v>
      </c>
      <c r="K245" s="18">
        <v>344.04</v>
      </c>
      <c r="L245" s="19">
        <f>SUM(F245:K245)</f>
        <v>155876.25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9283377.7600000016</v>
      </c>
      <c r="G247" s="41">
        <f t="shared" si="5"/>
        <v>4852808.1999999993</v>
      </c>
      <c r="H247" s="41">
        <f t="shared" si="5"/>
        <v>2511746.1300000004</v>
      </c>
      <c r="I247" s="41">
        <f t="shared" si="5"/>
        <v>913535.19000000006</v>
      </c>
      <c r="J247" s="41">
        <f t="shared" si="5"/>
        <v>237452.90999999995</v>
      </c>
      <c r="K247" s="41">
        <f t="shared" si="5"/>
        <v>45540.46</v>
      </c>
      <c r="L247" s="41">
        <f t="shared" si="5"/>
        <v>17844460.649999999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>
        <v>157676</v>
      </c>
      <c r="I255" s="18"/>
      <c r="J255" s="18"/>
      <c r="K255" s="18"/>
      <c r="L255" s="19">
        <f t="shared" si="6"/>
        <v>157676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157676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157676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25185370.140000001</v>
      </c>
      <c r="G257" s="41">
        <f t="shared" si="8"/>
        <v>13203844.299999999</v>
      </c>
      <c r="H257" s="41">
        <f t="shared" si="8"/>
        <v>6805521.4600000009</v>
      </c>
      <c r="I257" s="41">
        <f t="shared" si="8"/>
        <v>2315757.23</v>
      </c>
      <c r="J257" s="41">
        <f t="shared" si="8"/>
        <v>864636.79999999993</v>
      </c>
      <c r="K257" s="41">
        <f t="shared" si="8"/>
        <v>75870.76999999999</v>
      </c>
      <c r="L257" s="41">
        <f t="shared" si="8"/>
        <v>48451000.699999996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1081740.75</v>
      </c>
      <c r="L260" s="19">
        <f>SUM(F260:K260)</f>
        <v>1081740.75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105790.75</v>
      </c>
      <c r="L261" s="19">
        <f>SUM(F261:K261)</f>
        <v>105790.75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1237531.5</v>
      </c>
      <c r="L270" s="41">
        <f t="shared" si="9"/>
        <v>1237531.5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25185370.140000001</v>
      </c>
      <c r="G271" s="42">
        <f t="shared" si="11"/>
        <v>13203844.299999999</v>
      </c>
      <c r="H271" s="42">
        <f t="shared" si="11"/>
        <v>6805521.4600000009</v>
      </c>
      <c r="I271" s="42">
        <f t="shared" si="11"/>
        <v>2315757.23</v>
      </c>
      <c r="J271" s="42">
        <f t="shared" si="11"/>
        <v>864636.79999999993</v>
      </c>
      <c r="K271" s="42">
        <f t="shared" si="11"/>
        <v>1313402.27</v>
      </c>
      <c r="L271" s="42">
        <f t="shared" si="11"/>
        <v>49688532.199999996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384515.59</v>
      </c>
      <c r="G276" s="18">
        <v>34307.53</v>
      </c>
      <c r="H276" s="18">
        <v>15062.57</v>
      </c>
      <c r="I276" s="18">
        <v>16853.78</v>
      </c>
      <c r="J276" s="18">
        <v>551.79</v>
      </c>
      <c r="K276" s="18">
        <v>10777.73</v>
      </c>
      <c r="L276" s="19">
        <f>SUM(F276:K276)</f>
        <v>462068.98999999993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311340.57</v>
      </c>
      <c r="G277" s="18">
        <v>136738.23999999999</v>
      </c>
      <c r="H277" s="18">
        <v>2241.33</v>
      </c>
      <c r="I277" s="18">
        <v>893.66</v>
      </c>
      <c r="J277" s="18">
        <v>17070</v>
      </c>
      <c r="K277" s="18">
        <v>11183.55</v>
      </c>
      <c r="L277" s="19">
        <f>SUM(F277:K277)</f>
        <v>479467.35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1340.77</v>
      </c>
      <c r="G281" s="18">
        <v>242.24</v>
      </c>
      <c r="H281" s="18">
        <v>30528.23</v>
      </c>
      <c r="I281" s="18">
        <v>222.34</v>
      </c>
      <c r="J281" s="18">
        <v>2747.05</v>
      </c>
      <c r="K281" s="18">
        <v>1109.48</v>
      </c>
      <c r="L281" s="19">
        <f t="shared" ref="L281:L287" si="12">SUM(F281:K281)</f>
        <v>36190.11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23662.26</v>
      </c>
      <c r="G282" s="18">
        <v>1810.17</v>
      </c>
      <c r="H282" s="18">
        <v>3565.59</v>
      </c>
      <c r="I282" s="18"/>
      <c r="J282" s="18"/>
      <c r="K282" s="18">
        <v>693.49</v>
      </c>
      <c r="L282" s="19">
        <f t="shared" si="12"/>
        <v>29731.510000000002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720859.19000000006</v>
      </c>
      <c r="G290" s="42">
        <f t="shared" si="13"/>
        <v>173098.18</v>
      </c>
      <c r="H290" s="42">
        <f t="shared" si="13"/>
        <v>51397.72</v>
      </c>
      <c r="I290" s="42">
        <f t="shared" si="13"/>
        <v>17969.78</v>
      </c>
      <c r="J290" s="42">
        <f t="shared" si="13"/>
        <v>20368.84</v>
      </c>
      <c r="K290" s="42">
        <f t="shared" si="13"/>
        <v>23764.25</v>
      </c>
      <c r="L290" s="41">
        <f t="shared" si="13"/>
        <v>1007457.9599999998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>
        <v>8338.6200000000008</v>
      </c>
      <c r="G295" s="18">
        <v>378.84</v>
      </c>
      <c r="H295" s="18">
        <v>2006.4</v>
      </c>
      <c r="I295" s="18">
        <v>4059.92</v>
      </c>
      <c r="J295" s="18">
        <v>862.61</v>
      </c>
      <c r="K295" s="18">
        <v>373.67</v>
      </c>
      <c r="L295" s="19">
        <f>SUM(F295:K295)</f>
        <v>16020.060000000001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>
        <v>16534.03</v>
      </c>
      <c r="G296" s="18">
        <v>10045.98</v>
      </c>
      <c r="H296" s="18">
        <v>834.41</v>
      </c>
      <c r="I296" s="18">
        <v>115.49</v>
      </c>
      <c r="J296" s="18"/>
      <c r="K296" s="18">
        <v>657.47</v>
      </c>
      <c r="L296" s="19">
        <f>SUM(F296:K296)</f>
        <v>28187.38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>
        <v>834.06</v>
      </c>
      <c r="G300" s="18">
        <v>150.69</v>
      </c>
      <c r="H300" s="18">
        <v>18990.73</v>
      </c>
      <c r="I300" s="18">
        <v>138.31</v>
      </c>
      <c r="J300" s="18">
        <v>1708.86</v>
      </c>
      <c r="K300" s="18">
        <v>690.18000000000006</v>
      </c>
      <c r="L300" s="19">
        <f t="shared" ref="L300:L306" si="14">SUM(F300:K300)</f>
        <v>22512.83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>
        <v>14719.61</v>
      </c>
      <c r="G301" s="18">
        <v>1126.05</v>
      </c>
      <c r="H301" s="18">
        <v>2218.0500000000002</v>
      </c>
      <c r="I301" s="18"/>
      <c r="J301" s="18"/>
      <c r="K301" s="18">
        <v>431.4</v>
      </c>
      <c r="L301" s="19">
        <f t="shared" si="14"/>
        <v>18495.11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40426.320000000007</v>
      </c>
      <c r="G309" s="42">
        <f t="shared" si="15"/>
        <v>11701.56</v>
      </c>
      <c r="H309" s="42">
        <f t="shared" si="15"/>
        <v>24049.59</v>
      </c>
      <c r="I309" s="42">
        <f t="shared" si="15"/>
        <v>4313.72</v>
      </c>
      <c r="J309" s="42">
        <f t="shared" si="15"/>
        <v>2571.4699999999998</v>
      </c>
      <c r="K309" s="42">
        <f t="shared" si="15"/>
        <v>2152.7200000000003</v>
      </c>
      <c r="L309" s="41">
        <f t="shared" si="15"/>
        <v>85215.38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11231.99</v>
      </c>
      <c r="G314" s="18">
        <v>1268.83</v>
      </c>
      <c r="H314" s="18">
        <v>37898.68</v>
      </c>
      <c r="I314" s="18">
        <v>1870.99</v>
      </c>
      <c r="J314" s="18">
        <v>495.9</v>
      </c>
      <c r="K314" s="18">
        <v>1260.17</v>
      </c>
      <c r="L314" s="19">
        <f>SUM(F314:K314)</f>
        <v>54026.559999999998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218499.28</v>
      </c>
      <c r="G315" s="18">
        <v>80499.16</v>
      </c>
      <c r="H315" s="18">
        <v>1505.47</v>
      </c>
      <c r="I315" s="18">
        <v>166.85</v>
      </c>
      <c r="J315" s="18"/>
      <c r="K315" s="18">
        <v>7180.62</v>
      </c>
      <c r="L315" s="19">
        <f>SUM(F315:K315)</f>
        <v>307851.37999999995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>
        <v>49372.28</v>
      </c>
      <c r="G316" s="18">
        <v>3807.75</v>
      </c>
      <c r="H316" s="18">
        <v>65099.569999999992</v>
      </c>
      <c r="I316" s="18">
        <v>97062.65</v>
      </c>
      <c r="J316" s="18">
        <v>55596.520000000004</v>
      </c>
      <c r="K316" s="18">
        <v>8356</v>
      </c>
      <c r="L316" s="19">
        <f>SUM(F316:K316)</f>
        <v>279294.77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>
        <v>1204.97</v>
      </c>
      <c r="G319" s="18">
        <v>217.7</v>
      </c>
      <c r="H319" s="18">
        <v>27436.18</v>
      </c>
      <c r="I319" s="18">
        <v>199.82</v>
      </c>
      <c r="J319" s="18">
        <v>2468.8200000000002</v>
      </c>
      <c r="K319" s="18">
        <v>997.11</v>
      </c>
      <c r="L319" s="19">
        <f t="shared" ref="L319:L325" si="16">SUM(F319:K319)</f>
        <v>32524.6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45">
        <v>21265.63</v>
      </c>
      <c r="G320" s="145">
        <v>1626.82</v>
      </c>
      <c r="H320" s="145">
        <v>3204.45</v>
      </c>
      <c r="I320" s="18"/>
      <c r="J320" s="18"/>
      <c r="K320" s="18">
        <v>623.25</v>
      </c>
      <c r="L320" s="19">
        <f t="shared" si="16"/>
        <v>26720.15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301574.14999999997</v>
      </c>
      <c r="G328" s="42">
        <f t="shared" si="17"/>
        <v>87420.260000000009</v>
      </c>
      <c r="H328" s="42">
        <f t="shared" si="17"/>
        <v>135144.35</v>
      </c>
      <c r="I328" s="42">
        <f t="shared" si="17"/>
        <v>99300.31</v>
      </c>
      <c r="J328" s="42">
        <f t="shared" si="17"/>
        <v>58561.240000000005</v>
      </c>
      <c r="K328" s="42">
        <f t="shared" si="17"/>
        <v>18417.150000000001</v>
      </c>
      <c r="L328" s="41">
        <f t="shared" si="17"/>
        <v>700417.46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>
        <v>15450</v>
      </c>
      <c r="G333" s="18">
        <v>3268.45</v>
      </c>
      <c r="H333" s="18">
        <v>47633.87</v>
      </c>
      <c r="I333" s="18">
        <v>16548.3</v>
      </c>
      <c r="J333" s="18"/>
      <c r="K333" s="18">
        <v>1850.85</v>
      </c>
      <c r="L333" s="19">
        <f t="shared" si="18"/>
        <v>84751.470000000016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15450</v>
      </c>
      <c r="G337" s="41">
        <f t="shared" si="19"/>
        <v>3268.45</v>
      </c>
      <c r="H337" s="41">
        <f t="shared" si="19"/>
        <v>47633.87</v>
      </c>
      <c r="I337" s="41">
        <f t="shared" si="19"/>
        <v>16548.3</v>
      </c>
      <c r="J337" s="41">
        <f t="shared" si="19"/>
        <v>0</v>
      </c>
      <c r="K337" s="41">
        <f t="shared" si="19"/>
        <v>1850.85</v>
      </c>
      <c r="L337" s="41">
        <f t="shared" si="18"/>
        <v>84751.470000000016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1078309.6599999999</v>
      </c>
      <c r="G338" s="41">
        <f t="shared" si="20"/>
        <v>275488.45</v>
      </c>
      <c r="H338" s="41">
        <f t="shared" si="20"/>
        <v>258225.53</v>
      </c>
      <c r="I338" s="41">
        <f t="shared" si="20"/>
        <v>138132.10999999999</v>
      </c>
      <c r="J338" s="41">
        <f t="shared" si="20"/>
        <v>81501.55</v>
      </c>
      <c r="K338" s="41">
        <f t="shared" si="20"/>
        <v>46184.97</v>
      </c>
      <c r="L338" s="41">
        <f t="shared" si="20"/>
        <v>1877842.2699999998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1078309.6599999999</v>
      </c>
      <c r="G352" s="41">
        <f>G338</f>
        <v>275488.45</v>
      </c>
      <c r="H352" s="41">
        <f>H338</f>
        <v>258225.53</v>
      </c>
      <c r="I352" s="41">
        <f>I338</f>
        <v>138132.10999999999</v>
      </c>
      <c r="J352" s="41">
        <f>J338</f>
        <v>81501.55</v>
      </c>
      <c r="K352" s="47">
        <f>K338+K351</f>
        <v>46184.97</v>
      </c>
      <c r="L352" s="41">
        <f>L338+L351</f>
        <v>1877842.2699999998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206172.65</v>
      </c>
      <c r="G358" s="18">
        <v>143736.1</v>
      </c>
      <c r="H358" s="18">
        <v>8364.1200000000008</v>
      </c>
      <c r="I358" s="18">
        <v>130081.17</v>
      </c>
      <c r="J358" s="18">
        <v>10528.13</v>
      </c>
      <c r="K358" s="18">
        <v>1945.31</v>
      </c>
      <c r="L358" s="13">
        <f>SUM(F358:K358)</f>
        <v>500827.48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>
        <v>110491.06</v>
      </c>
      <c r="G359" s="18">
        <v>57685.52</v>
      </c>
      <c r="H359" s="18">
        <v>3195.32</v>
      </c>
      <c r="I359" s="18">
        <v>102459.4</v>
      </c>
      <c r="J359" s="18">
        <v>1014.25</v>
      </c>
      <c r="K359" s="18">
        <v>896.53</v>
      </c>
      <c r="L359" s="19">
        <f>SUM(F359:K359)</f>
        <v>275742.08000000002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>
        <v>126868.06</v>
      </c>
      <c r="G360" s="18">
        <v>88198.75</v>
      </c>
      <c r="H360" s="18">
        <v>5092.7</v>
      </c>
      <c r="I360" s="18">
        <v>134394.15</v>
      </c>
      <c r="J360" s="18">
        <v>1465.3</v>
      </c>
      <c r="K360" s="18">
        <v>1191.3900000000001</v>
      </c>
      <c r="L360" s="19">
        <f>SUM(F360:K360)</f>
        <v>357210.35000000003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443531.76999999996</v>
      </c>
      <c r="G362" s="47">
        <f t="shared" si="22"/>
        <v>289620.37</v>
      </c>
      <c r="H362" s="47">
        <f t="shared" si="22"/>
        <v>16652.14</v>
      </c>
      <c r="I362" s="47">
        <f t="shared" si="22"/>
        <v>366934.72</v>
      </c>
      <c r="J362" s="47">
        <f t="shared" si="22"/>
        <v>13007.679999999998</v>
      </c>
      <c r="K362" s="47">
        <f t="shared" si="22"/>
        <v>4033.2300000000005</v>
      </c>
      <c r="L362" s="47">
        <f t="shared" si="22"/>
        <v>1133779.9100000001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117082.9</v>
      </c>
      <c r="G367" s="18">
        <v>93017.54</v>
      </c>
      <c r="H367" s="18">
        <v>124991.46</v>
      </c>
      <c r="I367" s="56">
        <f>SUM(F367:H367)</f>
        <v>335091.90000000002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12998.270000000004</v>
      </c>
      <c r="G368" s="63">
        <v>9441.86</v>
      </c>
      <c r="H368" s="63">
        <v>9402.6899999999878</v>
      </c>
      <c r="I368" s="56">
        <f>SUM(F368:H368)</f>
        <v>31842.819999999992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130081.17</v>
      </c>
      <c r="G369" s="47">
        <f>SUM(G367:G368)</f>
        <v>102459.4</v>
      </c>
      <c r="H369" s="47">
        <f>SUM(H367:H368)</f>
        <v>134394.15</v>
      </c>
      <c r="I369" s="47">
        <f>SUM(I367:I368)</f>
        <v>366934.72000000003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50000</v>
      </c>
      <c r="H389" s="18">
        <v>5523.2899999999991</v>
      </c>
      <c r="I389" s="18"/>
      <c r="J389" s="24" t="s">
        <v>286</v>
      </c>
      <c r="K389" s="24" t="s">
        <v>286</v>
      </c>
      <c r="L389" s="56">
        <f t="shared" si="25"/>
        <v>55523.29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>
        <v>130204.04</v>
      </c>
      <c r="J392" s="24" t="s">
        <v>286</v>
      </c>
      <c r="K392" s="24" t="s">
        <v>286</v>
      </c>
      <c r="L392" s="56">
        <f t="shared" si="25"/>
        <v>130204.04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50000</v>
      </c>
      <c r="H393" s="139">
        <f>SUM(H387:H392)</f>
        <v>5523.2899999999991</v>
      </c>
      <c r="I393" s="65">
        <f>SUM(I387:I392)</f>
        <v>130204.04</v>
      </c>
      <c r="J393" s="45" t="s">
        <v>286</v>
      </c>
      <c r="K393" s="45" t="s">
        <v>286</v>
      </c>
      <c r="L393" s="47">
        <f>SUM(L387:L392)</f>
        <v>185727.33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>
        <v>8287.48</v>
      </c>
      <c r="I397" s="18"/>
      <c r="J397" s="24" t="s">
        <v>286</v>
      </c>
      <c r="K397" s="24" t="s">
        <v>286</v>
      </c>
      <c r="L397" s="56">
        <f t="shared" si="26"/>
        <v>8287.48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>
        <v>18.66</v>
      </c>
      <c r="I400" s="18"/>
      <c r="J400" s="24" t="s">
        <v>286</v>
      </c>
      <c r="K400" s="24" t="s">
        <v>286</v>
      </c>
      <c r="L400" s="56">
        <f t="shared" si="26"/>
        <v>18.66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8306.14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8306.14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13829.429999999998</v>
      </c>
      <c r="I408" s="47">
        <f>I393+I401+I407</f>
        <v>130204.04</v>
      </c>
      <c r="J408" s="24" t="s">
        <v>286</v>
      </c>
      <c r="K408" s="24" t="s">
        <v>286</v>
      </c>
      <c r="L408" s="47">
        <f>L393+L401+L407</f>
        <v>194033.46999999997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>
        <v>157676</v>
      </c>
      <c r="I415" s="18"/>
      <c r="J415" s="18"/>
      <c r="K415" s="18"/>
      <c r="L415" s="56">
        <f t="shared" si="27"/>
        <v>157676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>
        <v>70124.100000000006</v>
      </c>
      <c r="I418" s="18"/>
      <c r="J418" s="18">
        <v>60079.94</v>
      </c>
      <c r="K418" s="18"/>
      <c r="L418" s="56">
        <f t="shared" si="27"/>
        <v>130204.04000000001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227800.1</v>
      </c>
      <c r="I419" s="139">
        <f t="shared" si="28"/>
        <v>0</v>
      </c>
      <c r="J419" s="139">
        <f t="shared" si="28"/>
        <v>60079.94</v>
      </c>
      <c r="K419" s="139">
        <f t="shared" si="28"/>
        <v>0</v>
      </c>
      <c r="L419" s="47">
        <f t="shared" si="28"/>
        <v>287880.04000000004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227800.1</v>
      </c>
      <c r="I434" s="47">
        <f t="shared" si="32"/>
        <v>0</v>
      </c>
      <c r="J434" s="47">
        <f t="shared" si="32"/>
        <v>60079.94</v>
      </c>
      <c r="K434" s="47">
        <f t="shared" si="32"/>
        <v>0</v>
      </c>
      <c r="L434" s="47">
        <f t="shared" si="32"/>
        <v>287880.04000000004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101401.26</v>
      </c>
      <c r="G439" s="18">
        <v>519719.98000000004</v>
      </c>
      <c r="H439" s="18">
        <v>852.58</v>
      </c>
      <c r="I439" s="56">
        <f t="shared" ref="I439:I445" si="33">SUM(F439:H439)</f>
        <v>621973.81999999995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101401.26</v>
      </c>
      <c r="G446" s="13">
        <f>SUM(G439:G445)</f>
        <v>519719.98000000004</v>
      </c>
      <c r="H446" s="13">
        <f>SUM(H439:H445)</f>
        <v>852.58</v>
      </c>
      <c r="I446" s="13">
        <f>SUM(I439:I445)</f>
        <v>621973.81999999995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101401.26</v>
      </c>
      <c r="G459" s="18">
        <v>519719.98000000004</v>
      </c>
      <c r="H459" s="18">
        <v>852.58</v>
      </c>
      <c r="I459" s="56">
        <f t="shared" si="34"/>
        <v>621973.81999999995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101401.26</v>
      </c>
      <c r="G460" s="83">
        <f>SUM(G454:G459)</f>
        <v>519719.98000000004</v>
      </c>
      <c r="H460" s="83">
        <f>SUM(H454:H459)</f>
        <v>852.58</v>
      </c>
      <c r="I460" s="83">
        <f>SUM(I454:I459)</f>
        <v>621973.81999999995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101401.26</v>
      </c>
      <c r="G461" s="42">
        <f>G452+G460</f>
        <v>519719.98000000004</v>
      </c>
      <c r="H461" s="42">
        <f>H452+H460</f>
        <v>852.58</v>
      </c>
      <c r="I461" s="42">
        <f>I452+I460</f>
        <v>621973.81999999995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1378482.49</v>
      </c>
      <c r="G465" s="18">
        <v>65623.87</v>
      </c>
      <c r="H465" s="18">
        <v>345055.74</v>
      </c>
      <c r="I465" s="18"/>
      <c r="J465" s="18">
        <v>715820.39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49030354.659999996</v>
      </c>
      <c r="G468" s="18">
        <v>1148633.97</v>
      </c>
      <c r="H468" s="18">
        <v>1884922.3</v>
      </c>
      <c r="I468" s="18"/>
      <c r="J468" s="18">
        <v>194033.47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49030354.659999996</v>
      </c>
      <c r="G470" s="53">
        <f>SUM(G468:G469)</f>
        <v>1148633.97</v>
      </c>
      <c r="H470" s="53">
        <f>SUM(H468:H469)</f>
        <v>1884922.3</v>
      </c>
      <c r="I470" s="53">
        <f>SUM(I468:I469)</f>
        <v>0</v>
      </c>
      <c r="J470" s="53">
        <f>SUM(J468:J469)</f>
        <v>194033.47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49688532.200000003</v>
      </c>
      <c r="G472" s="18">
        <v>1133779.9099999999</v>
      </c>
      <c r="H472" s="18">
        <v>1877842.27</v>
      </c>
      <c r="I472" s="18"/>
      <c r="J472" s="18">
        <v>287880.03999999998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49688532.200000003</v>
      </c>
      <c r="G474" s="53">
        <f>SUM(G472:G473)</f>
        <v>1133779.9099999999</v>
      </c>
      <c r="H474" s="53">
        <f>SUM(H472:H473)</f>
        <v>1877842.27</v>
      </c>
      <c r="I474" s="53">
        <f>SUM(I472:I473)</f>
        <v>0</v>
      </c>
      <c r="J474" s="53">
        <f>SUM(J472:J473)</f>
        <v>287880.03999999998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720304.94999999553</v>
      </c>
      <c r="G476" s="53">
        <f>(G465+G470)- G474</f>
        <v>80477.929999999935</v>
      </c>
      <c r="H476" s="53">
        <f>(H465+H470)- H474</f>
        <v>352135.77</v>
      </c>
      <c r="I476" s="53">
        <f>(I465+I470)- I474</f>
        <v>0</v>
      </c>
      <c r="J476" s="53">
        <f>(J465+J470)- J474</f>
        <v>621973.82000000007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12</v>
      </c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8220000</v>
      </c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2.7</v>
      </c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2975000</v>
      </c>
      <c r="G495" s="18"/>
      <c r="H495" s="18"/>
      <c r="I495" s="18"/>
      <c r="J495" s="18"/>
      <c r="K495" s="53">
        <f>SUM(F495:J495)</f>
        <v>2975000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775000</v>
      </c>
      <c r="G497" s="18"/>
      <c r="H497" s="18"/>
      <c r="I497" s="18"/>
      <c r="J497" s="18"/>
      <c r="K497" s="53">
        <f t="shared" si="35"/>
        <v>775000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2200000</v>
      </c>
      <c r="G498" s="204"/>
      <c r="H498" s="204"/>
      <c r="I498" s="204"/>
      <c r="J498" s="204"/>
      <c r="K498" s="205">
        <f t="shared" si="35"/>
        <v>2200000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133009.38</v>
      </c>
      <c r="G499" s="18"/>
      <c r="H499" s="18"/>
      <c r="I499" s="18"/>
      <c r="J499" s="18"/>
      <c r="K499" s="53">
        <f t="shared" si="35"/>
        <v>133009.38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2333009.38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2333009.38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755000</v>
      </c>
      <c r="G501" s="204"/>
      <c r="H501" s="204"/>
      <c r="I501" s="204"/>
      <c r="J501" s="204"/>
      <c r="K501" s="205">
        <f t="shared" si="35"/>
        <v>755000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69771.88</v>
      </c>
      <c r="G502" s="18"/>
      <c r="H502" s="18"/>
      <c r="I502" s="18"/>
      <c r="J502" s="18"/>
      <c r="K502" s="53">
        <f t="shared" si="35"/>
        <v>69771.88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824771.88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824771.88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1949395.52</v>
      </c>
      <c r="G507" s="144">
        <v>1580490.63</v>
      </c>
      <c r="H507" s="144">
        <v>1949395.52</v>
      </c>
      <c r="I507" s="144">
        <v>1580490.63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2376217.0099999998</v>
      </c>
      <c r="G521" s="18">
        <v>922648.66999999993</v>
      </c>
      <c r="H521" s="18">
        <v>586865.07999999996</v>
      </c>
      <c r="I521" s="18">
        <v>19851.18</v>
      </c>
      <c r="J521" s="18">
        <v>33714.35</v>
      </c>
      <c r="K521" s="18">
        <v>11183.55</v>
      </c>
      <c r="L521" s="88">
        <f>SUM(F521:K521)</f>
        <v>3950479.84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>
        <v>977168.14</v>
      </c>
      <c r="G522" s="18">
        <v>458246.72</v>
      </c>
      <c r="H522" s="18">
        <v>484503.54</v>
      </c>
      <c r="I522" s="18">
        <v>1797.23</v>
      </c>
      <c r="J522" s="18">
        <v>8366.5400000000009</v>
      </c>
      <c r="K522" s="18">
        <v>922.47</v>
      </c>
      <c r="L522" s="88">
        <f>SUM(F522:K522)</f>
        <v>1931004.64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1423603.36</v>
      </c>
      <c r="G523" s="18">
        <v>509514.91000000003</v>
      </c>
      <c r="H523" s="18">
        <v>590668.11</v>
      </c>
      <c r="I523" s="18">
        <v>5193.7000000000007</v>
      </c>
      <c r="J523" s="18">
        <v>2222.04</v>
      </c>
      <c r="K523" s="18">
        <v>7180.62</v>
      </c>
      <c r="L523" s="88">
        <f>SUM(F523:K523)</f>
        <v>2538382.7400000002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4776988.51</v>
      </c>
      <c r="G524" s="108">
        <f t="shared" ref="G524:L524" si="36">SUM(G521:G523)</f>
        <v>1890410.2999999998</v>
      </c>
      <c r="H524" s="108">
        <f t="shared" si="36"/>
        <v>1662036.73</v>
      </c>
      <c r="I524" s="108">
        <f t="shared" si="36"/>
        <v>26842.11</v>
      </c>
      <c r="J524" s="108">
        <f t="shared" si="36"/>
        <v>44302.93</v>
      </c>
      <c r="K524" s="108">
        <f t="shared" si="36"/>
        <v>19286.64</v>
      </c>
      <c r="L524" s="89">
        <f t="shared" si="36"/>
        <v>8419867.2199999988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488691.43</v>
      </c>
      <c r="G526" s="18">
        <v>238736.32</v>
      </c>
      <c r="H526" s="18">
        <v>126868.25</v>
      </c>
      <c r="I526" s="18">
        <v>15262.77</v>
      </c>
      <c r="J526" s="18">
        <v>1969.85</v>
      </c>
      <c r="K526" s="18">
        <v>27.77</v>
      </c>
      <c r="L526" s="88">
        <f>SUM(F526:K526)</f>
        <v>871556.39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>
        <v>293751.59000000003</v>
      </c>
      <c r="G527" s="18">
        <v>186583.26</v>
      </c>
      <c r="H527" s="18">
        <v>78921.06</v>
      </c>
      <c r="I527" s="18">
        <v>5041.18</v>
      </c>
      <c r="J527" s="18">
        <v>235.48</v>
      </c>
      <c r="K527" s="18">
        <v>17.27</v>
      </c>
      <c r="L527" s="88">
        <f>SUM(F527:K527)</f>
        <v>564549.84000000008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>
        <v>392378.77</v>
      </c>
      <c r="G528" s="18">
        <v>171906.43</v>
      </c>
      <c r="H528" s="18">
        <v>114018.4</v>
      </c>
      <c r="I528" s="18">
        <v>5464.42</v>
      </c>
      <c r="J528" s="18"/>
      <c r="K528" s="18">
        <v>24.96</v>
      </c>
      <c r="L528" s="88">
        <f>SUM(F528:K528)</f>
        <v>683792.98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1174821.79</v>
      </c>
      <c r="G529" s="89">
        <f t="shared" ref="G529:L529" si="37">SUM(G526:G528)</f>
        <v>597226.01</v>
      </c>
      <c r="H529" s="89">
        <f t="shared" si="37"/>
        <v>319807.70999999996</v>
      </c>
      <c r="I529" s="89">
        <f t="shared" si="37"/>
        <v>25768.370000000003</v>
      </c>
      <c r="J529" s="89">
        <f t="shared" si="37"/>
        <v>2205.33</v>
      </c>
      <c r="K529" s="89">
        <f t="shared" si="37"/>
        <v>70</v>
      </c>
      <c r="L529" s="89">
        <f t="shared" si="37"/>
        <v>2119899.21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3927.35</v>
      </c>
      <c r="G531" s="18">
        <v>1883.64</v>
      </c>
      <c r="H531" s="18">
        <v>39639.39</v>
      </c>
      <c r="I531" s="18">
        <v>3686.03</v>
      </c>
      <c r="J531" s="18"/>
      <c r="K531" s="18">
        <v>10625.96</v>
      </c>
      <c r="L531" s="88">
        <f>SUM(F531:K531)</f>
        <v>59762.369999999995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>
        <v>2443.09</v>
      </c>
      <c r="G532" s="18">
        <v>1171.76</v>
      </c>
      <c r="H532" s="18">
        <v>24658.52</v>
      </c>
      <c r="I532" s="18">
        <v>2292.9699999999998</v>
      </c>
      <c r="J532" s="18"/>
      <c r="K532" s="18">
        <v>6610.1</v>
      </c>
      <c r="L532" s="88">
        <f>SUM(F532:K532)</f>
        <v>37176.44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3529.57</v>
      </c>
      <c r="G533" s="18">
        <v>1692.86</v>
      </c>
      <c r="H533" s="18">
        <v>35624.51</v>
      </c>
      <c r="I533" s="18">
        <v>3312.69</v>
      </c>
      <c r="J533" s="18"/>
      <c r="K533" s="18">
        <v>9549.7099999999991</v>
      </c>
      <c r="L533" s="88">
        <f>SUM(F533:K533)</f>
        <v>53709.340000000004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9900.01</v>
      </c>
      <c r="G534" s="89">
        <f t="shared" ref="G534:L534" si="38">SUM(G531:G533)</f>
        <v>4748.26</v>
      </c>
      <c r="H534" s="89">
        <f t="shared" si="38"/>
        <v>99922.420000000013</v>
      </c>
      <c r="I534" s="89">
        <f t="shared" si="38"/>
        <v>9291.69</v>
      </c>
      <c r="J534" s="89">
        <f t="shared" si="38"/>
        <v>0</v>
      </c>
      <c r="K534" s="89">
        <f t="shared" si="38"/>
        <v>26785.769999999997</v>
      </c>
      <c r="L534" s="89">
        <f t="shared" si="38"/>
        <v>150648.15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4445.5762500000001</v>
      </c>
      <c r="I536" s="18"/>
      <c r="J536" s="18"/>
      <c r="K536" s="18"/>
      <c r="L536" s="88">
        <f>SUM(F536:K536)</f>
        <v>4445.5762500000001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>
        <v>3631.5974999999999</v>
      </c>
      <c r="I537" s="18"/>
      <c r="J537" s="18"/>
      <c r="K537" s="18"/>
      <c r="L537" s="88">
        <f>SUM(F537:K537)</f>
        <v>3631.5974999999999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>
        <v>4445.5762500000001</v>
      </c>
      <c r="I538" s="18"/>
      <c r="J538" s="18"/>
      <c r="K538" s="18"/>
      <c r="L538" s="88">
        <f>SUM(F538:K538)</f>
        <v>4445.5762500000001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12522.75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12522.75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190090.68</v>
      </c>
      <c r="I541" s="18"/>
      <c r="J541" s="18"/>
      <c r="K541" s="18"/>
      <c r="L541" s="88">
        <f>SUM(F541:K541)</f>
        <v>190090.68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>
        <v>156797.96</v>
      </c>
      <c r="I542" s="18"/>
      <c r="J542" s="18"/>
      <c r="K542" s="18"/>
      <c r="L542" s="88">
        <f>SUM(F542:K542)</f>
        <v>156797.96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190090.68</v>
      </c>
      <c r="I543" s="18"/>
      <c r="J543" s="18"/>
      <c r="K543" s="18"/>
      <c r="L543" s="88">
        <f>SUM(F543:K543)</f>
        <v>190090.68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536979.32000000007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536979.32000000007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5961710.3099999996</v>
      </c>
      <c r="G545" s="89">
        <f t="shared" ref="G545:L545" si="41">G524+G529+G534+G539+G544</f>
        <v>2492384.5699999994</v>
      </c>
      <c r="H545" s="89">
        <f t="shared" si="41"/>
        <v>2631268.9299999997</v>
      </c>
      <c r="I545" s="89">
        <f t="shared" si="41"/>
        <v>61902.170000000006</v>
      </c>
      <c r="J545" s="89">
        <f t="shared" si="41"/>
        <v>46508.26</v>
      </c>
      <c r="K545" s="89">
        <f t="shared" si="41"/>
        <v>46142.409999999996</v>
      </c>
      <c r="L545" s="89">
        <f t="shared" si="41"/>
        <v>11239916.65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3950479.84</v>
      </c>
      <c r="G549" s="87">
        <f>L526</f>
        <v>871556.39</v>
      </c>
      <c r="H549" s="87">
        <f>L531</f>
        <v>59762.369999999995</v>
      </c>
      <c r="I549" s="87">
        <f>L536</f>
        <v>4445.5762500000001</v>
      </c>
      <c r="J549" s="87">
        <f>L541</f>
        <v>190090.68</v>
      </c>
      <c r="K549" s="87">
        <f>SUM(F549:J549)</f>
        <v>5076334.8562499993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1931004.64</v>
      </c>
      <c r="G550" s="87">
        <f>L527</f>
        <v>564549.84000000008</v>
      </c>
      <c r="H550" s="87">
        <f>L532</f>
        <v>37176.44</v>
      </c>
      <c r="I550" s="87">
        <f>L537</f>
        <v>3631.5974999999999</v>
      </c>
      <c r="J550" s="87">
        <f>L542</f>
        <v>156797.96</v>
      </c>
      <c r="K550" s="87">
        <f>SUM(F550:J550)</f>
        <v>2693160.4775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2538382.7400000002</v>
      </c>
      <c r="G551" s="87">
        <f>L528</f>
        <v>683792.98</v>
      </c>
      <c r="H551" s="87">
        <f>L533</f>
        <v>53709.340000000004</v>
      </c>
      <c r="I551" s="87">
        <f>L538</f>
        <v>4445.5762500000001</v>
      </c>
      <c r="J551" s="87">
        <f>L543</f>
        <v>190090.68</v>
      </c>
      <c r="K551" s="87">
        <f>SUM(F551:J551)</f>
        <v>3470421.3162500001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8419867.2199999988</v>
      </c>
      <c r="G552" s="89">
        <f t="shared" si="42"/>
        <v>2119899.21</v>
      </c>
      <c r="H552" s="89">
        <f t="shared" si="42"/>
        <v>150648.15</v>
      </c>
      <c r="I552" s="89">
        <f t="shared" si="42"/>
        <v>12522.75</v>
      </c>
      <c r="J552" s="89">
        <f t="shared" si="42"/>
        <v>536979.32000000007</v>
      </c>
      <c r="K552" s="89">
        <f t="shared" si="42"/>
        <v>11239916.649999999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53115.08</v>
      </c>
      <c r="G562" s="18">
        <v>21327.14</v>
      </c>
      <c r="H562" s="18">
        <v>297.52999999999997</v>
      </c>
      <c r="I562" s="18">
        <v>936.45</v>
      </c>
      <c r="J562" s="18">
        <v>2747.05</v>
      </c>
      <c r="K562" s="18">
        <v>265.35000000000002</v>
      </c>
      <c r="L562" s="88">
        <f>SUM(F562:K562)</f>
        <v>78688.600000000006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>
        <v>130095.95</v>
      </c>
      <c r="G563" s="18">
        <v>47508.69</v>
      </c>
      <c r="H563" s="18">
        <v>185.08</v>
      </c>
      <c r="I563" s="18">
        <v>201.01</v>
      </c>
      <c r="J563" s="18">
        <v>1708.86</v>
      </c>
      <c r="K563" s="18">
        <v>165.07</v>
      </c>
      <c r="L563" s="88">
        <f>SUM(F563:K563)</f>
        <v>179864.66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>
        <v>47735.324999999997</v>
      </c>
      <c r="G564" s="18">
        <v>19167.02</v>
      </c>
      <c r="H564" s="18">
        <v>267.39</v>
      </c>
      <c r="I564" s="18">
        <v>199.82</v>
      </c>
      <c r="J564" s="18">
        <v>2468.8200000000002</v>
      </c>
      <c r="K564" s="18">
        <v>238.48</v>
      </c>
      <c r="L564" s="88">
        <f>SUM(F564:K564)</f>
        <v>70076.85500000001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230946.35499999998</v>
      </c>
      <c r="G565" s="89">
        <f t="shared" si="44"/>
        <v>88002.85</v>
      </c>
      <c r="H565" s="89">
        <f t="shared" si="44"/>
        <v>750</v>
      </c>
      <c r="I565" s="89">
        <f t="shared" si="44"/>
        <v>1337.28</v>
      </c>
      <c r="J565" s="89">
        <f t="shared" si="44"/>
        <v>6924.73</v>
      </c>
      <c r="K565" s="89">
        <f t="shared" si="44"/>
        <v>668.9</v>
      </c>
      <c r="L565" s="89">
        <f t="shared" si="44"/>
        <v>328630.11499999999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230946.35499999998</v>
      </c>
      <c r="G571" s="89">
        <f t="shared" ref="G571:L571" si="46">G560+G565+G570</f>
        <v>88002.85</v>
      </c>
      <c r="H571" s="89">
        <f t="shared" si="46"/>
        <v>750</v>
      </c>
      <c r="I571" s="89">
        <f t="shared" si="46"/>
        <v>1337.28</v>
      </c>
      <c r="J571" s="89">
        <f t="shared" si="46"/>
        <v>6924.73</v>
      </c>
      <c r="K571" s="89">
        <f t="shared" si="46"/>
        <v>668.9</v>
      </c>
      <c r="L571" s="89">
        <f t="shared" si="46"/>
        <v>328630.11499999999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113619.92</v>
      </c>
      <c r="G579" s="18"/>
      <c r="H579" s="18">
        <v>69457.41</v>
      </c>
      <c r="I579" s="87">
        <f t="shared" si="47"/>
        <v>183077.33000000002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>
        <v>141105.35999999999</v>
      </c>
      <c r="H582" s="18">
        <v>994416.62</v>
      </c>
      <c r="I582" s="87">
        <f t="shared" si="47"/>
        <v>1135521.98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>
        <v>5562.88</v>
      </c>
      <c r="I584" s="87">
        <f t="shared" si="47"/>
        <v>5562.88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629383.55000000005</v>
      </c>
      <c r="I591" s="18">
        <v>391521.28000000003</v>
      </c>
      <c r="J591" s="18">
        <v>565636.46</v>
      </c>
      <c r="K591" s="104">
        <f t="shared" ref="K591:K597" si="48">SUM(H591:J591)</f>
        <v>1586541.29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190090.68</v>
      </c>
      <c r="I592" s="18">
        <v>156797.96</v>
      </c>
      <c r="J592" s="18">
        <v>190090.68</v>
      </c>
      <c r="K592" s="104">
        <f t="shared" si="48"/>
        <v>536979.32000000007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2788.09</v>
      </c>
      <c r="I595" s="18"/>
      <c r="J595" s="18"/>
      <c r="K595" s="104">
        <f t="shared" si="48"/>
        <v>2788.09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3162.2570000000001</v>
      </c>
      <c r="K597" s="104">
        <f t="shared" si="48"/>
        <v>3162.2570000000001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822262.32</v>
      </c>
      <c r="I598" s="108">
        <f>SUM(I591:I597)</f>
        <v>548319.24</v>
      </c>
      <c r="J598" s="108">
        <f>SUM(J591:J597)</f>
        <v>758889.39699999988</v>
      </c>
      <c r="K598" s="108">
        <f>SUM(K591:K597)</f>
        <v>2129470.9570000004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418571.24000000005</v>
      </c>
      <c r="I604" s="18">
        <v>231552.96000000002</v>
      </c>
      <c r="J604" s="18">
        <v>296014.14999999997</v>
      </c>
      <c r="K604" s="104">
        <f>SUM(H604:J604)</f>
        <v>946138.35000000009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418571.24000000005</v>
      </c>
      <c r="I605" s="108">
        <f>SUM(I602:I604)</f>
        <v>231552.96000000002</v>
      </c>
      <c r="J605" s="108">
        <f>SUM(J602:J604)</f>
        <v>296014.14999999997</v>
      </c>
      <c r="K605" s="108">
        <f>SUM(K602:K604)</f>
        <v>946138.35000000009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49198.96</v>
      </c>
      <c r="G611" s="18">
        <v>10476.89</v>
      </c>
      <c r="H611" s="18">
        <v>6430.76</v>
      </c>
      <c r="I611" s="18"/>
      <c r="J611" s="18"/>
      <c r="K611" s="18"/>
      <c r="L611" s="88">
        <f>SUM(F611:K611)</f>
        <v>66106.61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>
        <v>40582.18</v>
      </c>
      <c r="G612" s="18">
        <v>7744.31</v>
      </c>
      <c r="H612" s="18">
        <v>13279.71</v>
      </c>
      <c r="I612" s="18">
        <v>2395.6</v>
      </c>
      <c r="J612" s="18"/>
      <c r="K612" s="18"/>
      <c r="L612" s="88">
        <f>SUM(F612:K612)</f>
        <v>64001.799999999996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49198.95</v>
      </c>
      <c r="G613" s="18">
        <v>9388.65</v>
      </c>
      <c r="H613" s="18">
        <v>6430.76</v>
      </c>
      <c r="I613" s="18"/>
      <c r="J613" s="18"/>
      <c r="K613" s="18"/>
      <c r="L613" s="88">
        <f>SUM(F613:K613)</f>
        <v>65018.36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138980.09</v>
      </c>
      <c r="G614" s="108">
        <f t="shared" si="49"/>
        <v>27609.85</v>
      </c>
      <c r="H614" s="108">
        <f t="shared" si="49"/>
        <v>26141.230000000003</v>
      </c>
      <c r="I614" s="108">
        <f t="shared" si="49"/>
        <v>2395.6</v>
      </c>
      <c r="J614" s="108">
        <f t="shared" si="49"/>
        <v>0</v>
      </c>
      <c r="K614" s="108">
        <f t="shared" si="49"/>
        <v>0</v>
      </c>
      <c r="L614" s="89">
        <f t="shared" si="49"/>
        <v>195126.77000000002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2739815.1199999996</v>
      </c>
      <c r="H617" s="109">
        <f>SUM(F52)</f>
        <v>2739815.12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117713.09</v>
      </c>
      <c r="H618" s="109">
        <f>SUM(G52)</f>
        <v>117713.09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359492.29000000004</v>
      </c>
      <c r="H619" s="109">
        <f>SUM(H52)</f>
        <v>359492.29000000004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621973.81999999995</v>
      </c>
      <c r="H621" s="109">
        <f>SUM(J52)</f>
        <v>621973.81999999995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720304.95</v>
      </c>
      <c r="H622" s="109">
        <f>F476</f>
        <v>720304.94999999553</v>
      </c>
      <c r="I622" s="121" t="s">
        <v>101</v>
      </c>
      <c r="J622" s="109">
        <f t="shared" ref="J622:J655" si="50">G622-H622</f>
        <v>4.4237822294235229E-9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80477.929999999993</v>
      </c>
      <c r="H623" s="109">
        <f>G476</f>
        <v>80477.929999999935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352135.77</v>
      </c>
      <c r="H624" s="109">
        <f>H476</f>
        <v>352135.77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621973.81999999995</v>
      </c>
      <c r="H626" s="109">
        <f>J476</f>
        <v>621973.82000000007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49030354.659999996</v>
      </c>
      <c r="H627" s="104">
        <f>SUM(F468)</f>
        <v>49030354.659999996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1148633.97</v>
      </c>
      <c r="H628" s="104">
        <f>SUM(G468)</f>
        <v>1148633.97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1884922.3000000003</v>
      </c>
      <c r="H629" s="104">
        <f>SUM(H468)</f>
        <v>1884922.3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194033.47</v>
      </c>
      <c r="H631" s="104">
        <f>SUM(J468)</f>
        <v>194033.47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49688532.199999996</v>
      </c>
      <c r="H632" s="104">
        <f>SUM(F472)</f>
        <v>49688532.200000003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1877842.2699999998</v>
      </c>
      <c r="H633" s="104">
        <f>SUM(H472)</f>
        <v>1877842.27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366934.72</v>
      </c>
      <c r="H634" s="104">
        <f>I369</f>
        <v>366934.72000000003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1133779.9100000001</v>
      </c>
      <c r="H635" s="104">
        <f>SUM(G472)</f>
        <v>1133779.9099999999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194033.46999999997</v>
      </c>
      <c r="H637" s="164">
        <f>SUM(J468)</f>
        <v>194033.47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287880.04000000004</v>
      </c>
      <c r="H638" s="164">
        <f>SUM(J472)</f>
        <v>287880.03999999998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101401.26</v>
      </c>
      <c r="H639" s="104">
        <f>SUM(F461)</f>
        <v>101401.26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519719.98000000004</v>
      </c>
      <c r="H640" s="104">
        <f>SUM(G461)</f>
        <v>519719.98000000004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852.58</v>
      </c>
      <c r="H641" s="104">
        <f>SUM(H461)</f>
        <v>852.58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621973.81999999995</v>
      </c>
      <c r="H642" s="104">
        <f>SUM(I461)</f>
        <v>621973.81999999995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13829.43</v>
      </c>
      <c r="H644" s="104">
        <f>H408</f>
        <v>13829.429999999998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194033.47</v>
      </c>
      <c r="H646" s="104">
        <f>L408</f>
        <v>194033.46999999997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2129470.9570000004</v>
      </c>
      <c r="H647" s="104">
        <f>L208+L226+L244</f>
        <v>2129470.96</v>
      </c>
      <c r="I647" s="140" t="s">
        <v>394</v>
      </c>
      <c r="J647" s="109">
        <f t="shared" si="50"/>
        <v>-2.9999995604157448E-3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946138.35000000009</v>
      </c>
      <c r="H648" s="104">
        <f>(J257+J338)-(J255+J336)</f>
        <v>946138.35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822262.32000000007</v>
      </c>
      <c r="H649" s="104">
        <f>H598</f>
        <v>822262.32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548319.24</v>
      </c>
      <c r="H650" s="104">
        <f>I598</f>
        <v>548319.24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758889.39999999991</v>
      </c>
      <c r="H651" s="104">
        <f>J598</f>
        <v>758889.39699999988</v>
      </c>
      <c r="I651" s="140" t="s">
        <v>388</v>
      </c>
      <c r="J651" s="109">
        <f t="shared" si="50"/>
        <v>3.0000000260770321E-3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20187981.75</v>
      </c>
      <c r="G660" s="19">
        <f>(L229+L309+L359)</f>
        <v>12130125.200000001</v>
      </c>
      <c r="H660" s="19">
        <f>(L247+L328+L360)</f>
        <v>18902088.460000001</v>
      </c>
      <c r="I660" s="19">
        <f>SUM(F660:H660)</f>
        <v>51220195.410000004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350940.26091321401</v>
      </c>
      <c r="G661" s="19">
        <f>(L359/IF(SUM(L358:L360)=0,1,SUM(L358:L360))*(SUM(G97:G110)))</f>
        <v>193218.22656367088</v>
      </c>
      <c r="H661" s="19">
        <f>(L360/IF(SUM(L358:L360)=0,1,SUM(L358:L360))*(SUM(G97:G110)))</f>
        <v>250304.74252311501</v>
      </c>
      <c r="I661" s="19">
        <f>SUM(F661:H661)</f>
        <v>794463.22999999986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822262.32000000007</v>
      </c>
      <c r="G662" s="19">
        <f>(L226+L306)-(J226+J306)</f>
        <v>548319.24</v>
      </c>
      <c r="H662" s="19">
        <f>(L244+L325)-(J244+J325)</f>
        <v>758889.39999999991</v>
      </c>
      <c r="I662" s="19">
        <f>SUM(F662:H662)</f>
        <v>2129470.96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598297.77</v>
      </c>
      <c r="G663" s="199">
        <f>SUM(G575:G587)+SUM(I602:I604)+L612</f>
        <v>436660.12</v>
      </c>
      <c r="H663" s="199">
        <f>SUM(H575:H587)+SUM(J602:J604)+L613</f>
        <v>1430469.42</v>
      </c>
      <c r="I663" s="19">
        <f>SUM(F663:H663)</f>
        <v>2465427.31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18416481.399086785</v>
      </c>
      <c r="G664" s="19">
        <f>G660-SUM(G661:G663)</f>
        <v>10951927.61343633</v>
      </c>
      <c r="H664" s="19">
        <f>H660-SUM(H661:H663)</f>
        <v>16462424.897476885</v>
      </c>
      <c r="I664" s="19">
        <f>I660-SUM(I661:I663)</f>
        <v>45830833.910000004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1323.55</v>
      </c>
      <c r="G665" s="248">
        <v>814.35</v>
      </c>
      <c r="H665" s="248">
        <v>1171.23</v>
      </c>
      <c r="I665" s="19">
        <f>SUM(F665:H665)</f>
        <v>3309.13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13914.46</v>
      </c>
      <c r="G667" s="19">
        <f>ROUND(G664/G665,2)</f>
        <v>13448.67</v>
      </c>
      <c r="H667" s="19">
        <f>ROUND(H664/H665,2)</f>
        <v>14055.67</v>
      </c>
      <c r="I667" s="19">
        <f>ROUND(I664/I665,2)</f>
        <v>13849.81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11.71</v>
      </c>
      <c r="I670" s="19">
        <f>SUM(F670:H670)</f>
        <v>11.71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13914.46</v>
      </c>
      <c r="G672" s="19">
        <f>ROUND((G664+G669)/(G665+G670),2)</f>
        <v>13448.67</v>
      </c>
      <c r="H672" s="19">
        <f>ROUND((H664+H669)/(H665+H670),2)</f>
        <v>13916.53</v>
      </c>
      <c r="I672" s="19">
        <f>ROUND((I664+I669)/(I665+I670),2)</f>
        <v>13800.98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31" workbookViewId="0">
      <selection activeCell="B37" sqref="B37:C3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Hudson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11909144.179999998</v>
      </c>
      <c r="C9" s="229">
        <f>'DOE25'!G197+'DOE25'!G215+'DOE25'!G233+'DOE25'!G276+'DOE25'!G295+'DOE25'!G314</f>
        <v>6493892.6399999997</v>
      </c>
    </row>
    <row r="10" spans="1:3" x14ac:dyDescent="0.2">
      <c r="A10" t="s">
        <v>773</v>
      </c>
      <c r="B10" s="240">
        <v>10514321.02</v>
      </c>
      <c r="C10" s="240">
        <v>5733314.7400000002</v>
      </c>
    </row>
    <row r="11" spans="1:3" x14ac:dyDescent="0.2">
      <c r="A11" t="s">
        <v>774</v>
      </c>
      <c r="B11" s="240">
        <v>501149.94</v>
      </c>
      <c r="C11" s="240">
        <v>273270.17</v>
      </c>
    </row>
    <row r="12" spans="1:3" x14ac:dyDescent="0.2">
      <c r="A12" t="s">
        <v>775</v>
      </c>
      <c r="B12" s="240">
        <v>893673.22</v>
      </c>
      <c r="C12" s="240">
        <v>487307.73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11909144.18</v>
      </c>
      <c r="C13" s="231">
        <f>SUM(C10:C12)</f>
        <v>6493892.6400000006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4776988.5100000007</v>
      </c>
      <c r="C18" s="229">
        <f>'DOE25'!G198+'DOE25'!G216+'DOE25'!G234+'DOE25'!G277+'DOE25'!G296+'DOE25'!G315</f>
        <v>1890410.2999999998</v>
      </c>
    </row>
    <row r="19" spans="1:3" x14ac:dyDescent="0.2">
      <c r="A19" t="s">
        <v>773</v>
      </c>
      <c r="B19" s="240">
        <v>2219622.2599999998</v>
      </c>
      <c r="C19" s="240">
        <v>878376.99</v>
      </c>
    </row>
    <row r="20" spans="1:3" x14ac:dyDescent="0.2">
      <c r="A20" t="s">
        <v>774</v>
      </c>
      <c r="B20" s="240">
        <v>1945572.63</v>
      </c>
      <c r="C20" s="240">
        <v>769926.6</v>
      </c>
    </row>
    <row r="21" spans="1:3" x14ac:dyDescent="0.2">
      <c r="A21" t="s">
        <v>775</v>
      </c>
      <c r="B21" s="240">
        <v>611793.62</v>
      </c>
      <c r="C21" s="240">
        <v>242106.71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4776988.51</v>
      </c>
      <c r="C22" s="231">
        <f>SUM(C19:C21)</f>
        <v>1890410.2999999998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1114940.98</v>
      </c>
      <c r="C27" s="234">
        <f>'DOE25'!G199+'DOE25'!G217+'DOE25'!G235+'DOE25'!G278+'DOE25'!G297+'DOE25'!G316</f>
        <v>585399.93000000005</v>
      </c>
    </row>
    <row r="28" spans="1:3" x14ac:dyDescent="0.2">
      <c r="A28" t="s">
        <v>773</v>
      </c>
      <c r="B28" s="240">
        <v>824223.24</v>
      </c>
      <c r="C28" s="240">
        <v>432758.53</v>
      </c>
    </row>
    <row r="29" spans="1:3" x14ac:dyDescent="0.2">
      <c r="A29" t="s">
        <v>774</v>
      </c>
      <c r="B29" s="240">
        <v>59863.91</v>
      </c>
      <c r="C29" s="240">
        <v>31431.55</v>
      </c>
    </row>
    <row r="30" spans="1:3" x14ac:dyDescent="0.2">
      <c r="A30" t="s">
        <v>775</v>
      </c>
      <c r="B30" s="240">
        <v>230853.83000000002</v>
      </c>
      <c r="C30" s="240">
        <v>121209.85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1114940.98</v>
      </c>
      <c r="C31" s="231">
        <f>SUM(C28:C30)</f>
        <v>585399.93000000005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321453.43000000005</v>
      </c>
      <c r="C36" s="235">
        <f>'DOE25'!G200+'DOE25'!G218+'DOE25'!G236+'DOE25'!G279+'DOE25'!G298+'DOE25'!G317</f>
        <v>62486.59</v>
      </c>
    </row>
    <row r="37" spans="1:3" x14ac:dyDescent="0.2">
      <c r="A37" t="s">
        <v>773</v>
      </c>
      <c r="B37" s="240">
        <v>321453.43</v>
      </c>
      <c r="C37" s="240">
        <v>62486.59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321453.43</v>
      </c>
      <c r="C40" s="231">
        <f>SUM(C37:C39)</f>
        <v>62486.59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1" sqref="D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Hudson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29145944.789999999</v>
      </c>
      <c r="D5" s="20">
        <f>SUM('DOE25'!L197:L200)+SUM('DOE25'!L215:L218)+SUM('DOE25'!L233:L236)-F5-G5</f>
        <v>28866262.879999999</v>
      </c>
      <c r="E5" s="243"/>
      <c r="F5" s="255">
        <f>SUM('DOE25'!J197:J200)+SUM('DOE25'!J215:J218)+SUM('DOE25'!J233:J236)</f>
        <v>247000.90999999997</v>
      </c>
      <c r="G5" s="53">
        <f>SUM('DOE25'!K197:K200)+SUM('DOE25'!K215:K218)+SUM('DOE25'!K233:K236)</f>
        <v>32681</v>
      </c>
      <c r="H5" s="259"/>
    </row>
    <row r="6" spans="1:9" x14ac:dyDescent="0.2">
      <c r="A6" s="32">
        <v>2100</v>
      </c>
      <c r="B6" t="s">
        <v>795</v>
      </c>
      <c r="C6" s="245">
        <f t="shared" si="0"/>
        <v>4386267.9000000004</v>
      </c>
      <c r="D6" s="20">
        <f>'DOE25'!L202+'DOE25'!L220+'DOE25'!L238-F6-G6</f>
        <v>4378232.4400000004</v>
      </c>
      <c r="E6" s="243"/>
      <c r="F6" s="255">
        <f>'DOE25'!J202+'DOE25'!J220+'DOE25'!J238</f>
        <v>6017.4599999999991</v>
      </c>
      <c r="G6" s="53">
        <f>'DOE25'!K202+'DOE25'!K220+'DOE25'!K238</f>
        <v>2018</v>
      </c>
      <c r="H6" s="259"/>
    </row>
    <row r="7" spans="1:9" x14ac:dyDescent="0.2">
      <c r="A7" s="32">
        <v>2200</v>
      </c>
      <c r="B7" t="s">
        <v>828</v>
      </c>
      <c r="C7" s="245">
        <f t="shared" si="0"/>
        <v>1581370.9099999997</v>
      </c>
      <c r="D7" s="20">
        <f>'DOE25'!L203+'DOE25'!L221+'DOE25'!L239-F7-G7</f>
        <v>1283768.7999999998</v>
      </c>
      <c r="E7" s="243"/>
      <c r="F7" s="255">
        <f>'DOE25'!J203+'DOE25'!J221+'DOE25'!J239</f>
        <v>296154.11</v>
      </c>
      <c r="G7" s="53">
        <f>'DOE25'!K203+'DOE25'!K221+'DOE25'!K239</f>
        <v>1448</v>
      </c>
      <c r="H7" s="259"/>
    </row>
    <row r="8" spans="1:9" x14ac:dyDescent="0.2">
      <c r="A8" s="32">
        <v>2300</v>
      </c>
      <c r="B8" t="s">
        <v>796</v>
      </c>
      <c r="C8" s="245">
        <f t="shared" si="0"/>
        <v>354127.52000000014</v>
      </c>
      <c r="D8" s="243"/>
      <c r="E8" s="20">
        <f>'DOE25'!L204+'DOE25'!L222+'DOE25'!L240-F8-G8-D9-D11</f>
        <v>325022.76000000013</v>
      </c>
      <c r="F8" s="255">
        <f>'DOE25'!J204+'DOE25'!J222+'DOE25'!J240</f>
        <v>1943.99</v>
      </c>
      <c r="G8" s="53">
        <f>'DOE25'!K204+'DOE25'!K222+'DOE25'!K240</f>
        <v>27160.769999999997</v>
      </c>
      <c r="H8" s="259"/>
    </row>
    <row r="9" spans="1:9" x14ac:dyDescent="0.2">
      <c r="A9" s="32">
        <v>2310</v>
      </c>
      <c r="B9" t="s">
        <v>812</v>
      </c>
      <c r="C9" s="245">
        <f t="shared" si="0"/>
        <v>60195.7</v>
      </c>
      <c r="D9" s="244">
        <v>60195.7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22590.5</v>
      </c>
      <c r="D10" s="243"/>
      <c r="E10" s="244">
        <v>22590.5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429405.63</v>
      </c>
      <c r="D11" s="244">
        <v>429405.63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3105636.17</v>
      </c>
      <c r="D12" s="20">
        <f>'DOE25'!L205+'DOE25'!L223+'DOE25'!L241-F12-G12</f>
        <v>3093136.34</v>
      </c>
      <c r="E12" s="243"/>
      <c r="F12" s="255">
        <f>'DOE25'!J205+'DOE25'!J223+'DOE25'!J241</f>
        <v>901.83</v>
      </c>
      <c r="G12" s="53">
        <f>'DOE25'!K205+'DOE25'!K223+'DOE25'!K241</f>
        <v>11598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926828.72</v>
      </c>
      <c r="D13" s="243"/>
      <c r="E13" s="20">
        <f>'DOE25'!L206+'DOE25'!L224+'DOE25'!L242-F13-G13</f>
        <v>922255.07</v>
      </c>
      <c r="F13" s="255">
        <f>'DOE25'!J206+'DOE25'!J224+'DOE25'!J242</f>
        <v>4573.6499999999996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5602673.0800000001</v>
      </c>
      <c r="D14" s="20">
        <f>'DOE25'!L207+'DOE25'!L225+'DOE25'!L243-F14-G14</f>
        <v>5492254.6799999997</v>
      </c>
      <c r="E14" s="243"/>
      <c r="F14" s="255">
        <f>'DOE25'!J207+'DOE25'!J225+'DOE25'!J243</f>
        <v>110418.4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2129470.96</v>
      </c>
      <c r="D15" s="20">
        <f>'DOE25'!L208+'DOE25'!L226+'DOE25'!L244-F15-G15</f>
        <v>2129470.96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571403.32000000007</v>
      </c>
      <c r="D16" s="243"/>
      <c r="E16" s="20">
        <f>'DOE25'!L209+'DOE25'!L227+'DOE25'!L245-F16-G16</f>
        <v>372811.87000000011</v>
      </c>
      <c r="F16" s="255">
        <f>'DOE25'!J209+'DOE25'!J227+'DOE25'!J245</f>
        <v>197626.44999999998</v>
      </c>
      <c r="G16" s="53">
        <f>'DOE25'!K209+'DOE25'!K227+'DOE25'!K245</f>
        <v>965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157676</v>
      </c>
      <c r="D22" s="243"/>
      <c r="E22" s="243"/>
      <c r="F22" s="255">
        <f>'DOE25'!L255+'DOE25'!L336</f>
        <v>157676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1187531.5</v>
      </c>
      <c r="D25" s="243"/>
      <c r="E25" s="243"/>
      <c r="F25" s="258"/>
      <c r="G25" s="256"/>
      <c r="H25" s="257">
        <f>'DOE25'!L260+'DOE25'!L261+'DOE25'!L341+'DOE25'!L342</f>
        <v>1187531.5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798688.01000000013</v>
      </c>
      <c r="D29" s="20">
        <f>'DOE25'!L358+'DOE25'!L359+'DOE25'!L360-'DOE25'!I367-F29-G29</f>
        <v>781647.10000000009</v>
      </c>
      <c r="E29" s="243"/>
      <c r="F29" s="255">
        <f>'DOE25'!J358+'DOE25'!J359+'DOE25'!J360</f>
        <v>13007.679999999998</v>
      </c>
      <c r="G29" s="53">
        <f>'DOE25'!K358+'DOE25'!K359+'DOE25'!K360</f>
        <v>4033.2300000000005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1877842.2699999998</v>
      </c>
      <c r="D31" s="20">
        <f>'DOE25'!L290+'DOE25'!L309+'DOE25'!L328+'DOE25'!L333+'DOE25'!L334+'DOE25'!L335-F31-G31</f>
        <v>1750155.7499999998</v>
      </c>
      <c r="E31" s="243"/>
      <c r="F31" s="255">
        <f>'DOE25'!J290+'DOE25'!J309+'DOE25'!J328+'DOE25'!J333+'DOE25'!J334+'DOE25'!J335</f>
        <v>81501.55</v>
      </c>
      <c r="G31" s="53">
        <f>'DOE25'!K290+'DOE25'!K309+'DOE25'!K328+'DOE25'!K333+'DOE25'!K334+'DOE25'!K335</f>
        <v>46184.97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48264530.280000009</v>
      </c>
      <c r="E33" s="246">
        <f>SUM(E5:E31)</f>
        <v>1642680.2000000002</v>
      </c>
      <c r="F33" s="246">
        <f>SUM(F5:F31)</f>
        <v>1116822.03</v>
      </c>
      <c r="G33" s="246">
        <f>SUM(G5:G31)</f>
        <v>126088.96999999999</v>
      </c>
      <c r="H33" s="246">
        <f>SUM(H5:H31)</f>
        <v>1187531.5</v>
      </c>
    </row>
    <row r="35" spans="2:8" ht="12" thickBot="1" x14ac:dyDescent="0.25">
      <c r="B35" s="253" t="s">
        <v>841</v>
      </c>
      <c r="D35" s="254">
        <f>E33</f>
        <v>1642680.2000000002</v>
      </c>
      <c r="E35" s="249"/>
    </row>
    <row r="36" spans="2:8" ht="12" thickTop="1" x14ac:dyDescent="0.2">
      <c r="B36" t="s">
        <v>809</v>
      </c>
      <c r="D36" s="20">
        <f>D33</f>
        <v>48264530.280000009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Hudson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2163169.98</v>
      </c>
      <c r="D8" s="95">
        <f>'DOE25'!G9</f>
        <v>94117.68</v>
      </c>
      <c r="E8" s="95">
        <f>'DOE25'!H9</f>
        <v>5777.4100000000326</v>
      </c>
      <c r="F8" s="95">
        <f>'DOE25'!I9</f>
        <v>0</v>
      </c>
      <c r="G8" s="95">
        <f>'DOE25'!J9</f>
        <v>621973.81999999995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354483.11</v>
      </c>
      <c r="D11" s="95">
        <f>'DOE25'!G12</f>
        <v>23595.41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219125.07</v>
      </c>
      <c r="D12" s="95">
        <f>'DOE25'!G13</f>
        <v>0</v>
      </c>
      <c r="E12" s="95">
        <f>'DOE25'!H13</f>
        <v>353714.88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2213.96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823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2739815.1199999996</v>
      </c>
      <c r="D18" s="41">
        <f>SUM(D8:D17)</f>
        <v>117713.09</v>
      </c>
      <c r="E18" s="41">
        <f>SUM(E8:E17)</f>
        <v>359492.29000000004</v>
      </c>
      <c r="F18" s="41">
        <f>SUM(F8:F17)</f>
        <v>0</v>
      </c>
      <c r="G18" s="41">
        <f>SUM(G8:G17)</f>
        <v>621973.81999999995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810.09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439019.54</v>
      </c>
      <c r="D23" s="95">
        <f>'DOE25'!G24</f>
        <v>0</v>
      </c>
      <c r="E23" s="95">
        <f>'DOE25'!H24</f>
        <v>2086.48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74206.23</v>
      </c>
      <c r="D27" s="95">
        <f>'DOE25'!G28</f>
        <v>32123.9</v>
      </c>
      <c r="E27" s="95">
        <f>'DOE25'!H28</f>
        <v>5270.04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1506284.4</v>
      </c>
      <c r="D28" s="95">
        <f>'DOE25'!G29</f>
        <v>4301.17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2019510.17</v>
      </c>
      <c r="D31" s="41">
        <f>SUM(D21:D30)</f>
        <v>37235.159999999996</v>
      </c>
      <c r="E31" s="41">
        <f>SUM(E21:E30)</f>
        <v>7356.52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823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100000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80477.929999999993</v>
      </c>
      <c r="E47" s="95">
        <f>'DOE25'!H48</f>
        <v>352135.77</v>
      </c>
      <c r="F47" s="95">
        <f>'DOE25'!I48</f>
        <v>0</v>
      </c>
      <c r="G47" s="95">
        <f>'DOE25'!J48</f>
        <v>621973.81999999995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360939.59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258542.36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720304.95</v>
      </c>
      <c r="D50" s="41">
        <f>SUM(D34:D49)</f>
        <v>80477.929999999993</v>
      </c>
      <c r="E50" s="41">
        <f>SUM(E34:E49)</f>
        <v>352135.77</v>
      </c>
      <c r="F50" s="41">
        <f>SUM(F34:F49)</f>
        <v>0</v>
      </c>
      <c r="G50" s="41">
        <f>SUM(G34:G49)</f>
        <v>621973.81999999995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2739815.12</v>
      </c>
      <c r="D51" s="41">
        <f>D50+D31</f>
        <v>117713.09</v>
      </c>
      <c r="E51" s="41">
        <f>E50+E31</f>
        <v>359492.29000000004</v>
      </c>
      <c r="F51" s="41">
        <f>F50+F31</f>
        <v>0</v>
      </c>
      <c r="G51" s="41">
        <f>G50+G31</f>
        <v>621973.81999999995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32865628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183756.09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23263.27</v>
      </c>
      <c r="D59" s="95">
        <f>'DOE25'!G96</f>
        <v>559.69000000000005</v>
      </c>
      <c r="E59" s="95">
        <f>'DOE25'!H96</f>
        <v>2189.62</v>
      </c>
      <c r="F59" s="95">
        <f>'DOE25'!I96</f>
        <v>0</v>
      </c>
      <c r="G59" s="95">
        <f>'DOE25'!J96</f>
        <v>13829.43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763736.08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299852.21000000002</v>
      </c>
      <c r="D61" s="95">
        <f>SUM('DOE25'!G98:G110)</f>
        <v>30727.15</v>
      </c>
      <c r="E61" s="95">
        <f>SUM('DOE25'!H98:H110)</f>
        <v>156613.71</v>
      </c>
      <c r="F61" s="95">
        <f>SUM('DOE25'!I98:I110)</f>
        <v>0</v>
      </c>
      <c r="G61" s="95">
        <f>SUM('DOE25'!J98:J110)</f>
        <v>130204.04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506871.57</v>
      </c>
      <c r="D62" s="130">
        <f>SUM(D57:D61)</f>
        <v>795022.91999999993</v>
      </c>
      <c r="E62" s="130">
        <f>SUM(E57:E61)</f>
        <v>158803.32999999999</v>
      </c>
      <c r="F62" s="130">
        <f>SUM(F57:F61)</f>
        <v>0</v>
      </c>
      <c r="G62" s="130">
        <f>SUM(G57:G61)</f>
        <v>144033.47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33372499.57</v>
      </c>
      <c r="D63" s="22">
        <f>D56+D62</f>
        <v>795022.91999999993</v>
      </c>
      <c r="E63" s="22">
        <f>E56+E62</f>
        <v>158803.32999999999</v>
      </c>
      <c r="F63" s="22">
        <f>F56+F62</f>
        <v>0</v>
      </c>
      <c r="G63" s="22">
        <f>G56+G62</f>
        <v>144033.47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8053312.4400000004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6172347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54602.35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14280261.790000001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403328.94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310671.82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171251.63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19335.77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885252.39</v>
      </c>
      <c r="D78" s="130">
        <f>SUM(D72:D77)</f>
        <v>19335.77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15165514.180000002</v>
      </c>
      <c r="D81" s="130">
        <f>SUM(D79:D80)+D78+D70</f>
        <v>19335.77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299140.94</v>
      </c>
      <c r="D88" s="95">
        <f>SUM('DOE25'!G153:G161)</f>
        <v>334275.28000000003</v>
      </c>
      <c r="E88" s="95">
        <f>SUM('DOE25'!H153:H161)</f>
        <v>1726118.9700000002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299140.94</v>
      </c>
      <c r="D91" s="131">
        <f>SUM(D85:D90)</f>
        <v>334275.28000000003</v>
      </c>
      <c r="E91" s="131">
        <f>SUM(E85:E90)</f>
        <v>1726118.9700000002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35523.97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157676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193199.97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49030354.659999996</v>
      </c>
      <c r="D104" s="86">
        <f>D63+D81+D91+D103</f>
        <v>1148633.97</v>
      </c>
      <c r="E104" s="86">
        <f>E63+E81+E91+E103</f>
        <v>1884922.3000000003</v>
      </c>
      <c r="F104" s="86">
        <f>F63+F81+F91+F103</f>
        <v>0</v>
      </c>
      <c r="G104" s="86">
        <f>G63+G81+G103</f>
        <v>194033.47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18951513.409999996</v>
      </c>
      <c r="D109" s="24" t="s">
        <v>286</v>
      </c>
      <c r="E109" s="95">
        <f>('DOE25'!L276)+('DOE25'!L295)+('DOE25'!L314)</f>
        <v>532115.60999999987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7604361.1100000003</v>
      </c>
      <c r="D110" s="24" t="s">
        <v>286</v>
      </c>
      <c r="E110" s="95">
        <f>('DOE25'!L277)+('DOE25'!L296)+('DOE25'!L315)</f>
        <v>815506.10999999987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1893536.0499999998</v>
      </c>
      <c r="D111" s="24" t="s">
        <v>286</v>
      </c>
      <c r="E111" s="95">
        <f>('DOE25'!L278)+('DOE25'!L297)+('DOE25'!L316)</f>
        <v>279294.77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696534.22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84751.470000000016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29145944.789999995</v>
      </c>
      <c r="D115" s="86">
        <f>SUM(D109:D114)</f>
        <v>0</v>
      </c>
      <c r="E115" s="86">
        <f>SUM(E109:E114)</f>
        <v>1711667.9599999997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4386267.9000000004</v>
      </c>
      <c r="D118" s="24" t="s">
        <v>286</v>
      </c>
      <c r="E118" s="95">
        <f>+('DOE25'!L281)+('DOE25'!L300)+('DOE25'!L319)</f>
        <v>91227.540000000008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1581370.91</v>
      </c>
      <c r="D119" s="24" t="s">
        <v>286</v>
      </c>
      <c r="E119" s="95">
        <f>+('DOE25'!L282)+('DOE25'!L301)+('DOE25'!L320)</f>
        <v>74946.77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843728.85000000009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3105636.17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926828.72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5602673.0800000001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2129470.96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571403.32000000007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1133779.9100000001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19147379.91</v>
      </c>
      <c r="D128" s="86">
        <f>SUM(D118:D127)</f>
        <v>1133779.9100000001</v>
      </c>
      <c r="E128" s="86">
        <f>SUM(E118:E127)</f>
        <v>166174.31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157676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1081740.75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105790.75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185727.33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8306.14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-144033.46999999997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1395207.5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49688532.199999996</v>
      </c>
      <c r="D145" s="86">
        <f>(D115+D128+D144)</f>
        <v>1133779.9100000001</v>
      </c>
      <c r="E145" s="86">
        <f>(E115+E128+E144)</f>
        <v>1877842.2699999998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12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8220000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2.7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2975000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2975000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775000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775000</v>
      </c>
    </row>
    <row r="159" spans="1:9" x14ac:dyDescent="0.2">
      <c r="A159" s="22" t="s">
        <v>35</v>
      </c>
      <c r="B159" s="137">
        <f>'DOE25'!F498</f>
        <v>2200000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2200000</v>
      </c>
    </row>
    <row r="160" spans="1:9" x14ac:dyDescent="0.2">
      <c r="A160" s="22" t="s">
        <v>36</v>
      </c>
      <c r="B160" s="137">
        <f>'DOE25'!F499</f>
        <v>133009.38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133009.38</v>
      </c>
    </row>
    <row r="161" spans="1:7" x14ac:dyDescent="0.2">
      <c r="A161" s="22" t="s">
        <v>37</v>
      </c>
      <c r="B161" s="137">
        <f>'DOE25'!F500</f>
        <v>2333009.38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2333009.38</v>
      </c>
    </row>
    <row r="162" spans="1:7" x14ac:dyDescent="0.2">
      <c r="A162" s="22" t="s">
        <v>38</v>
      </c>
      <c r="B162" s="137">
        <f>'DOE25'!F501</f>
        <v>755000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755000</v>
      </c>
    </row>
    <row r="163" spans="1:7" x14ac:dyDescent="0.2">
      <c r="A163" s="22" t="s">
        <v>39</v>
      </c>
      <c r="B163" s="137">
        <f>'DOE25'!F502</f>
        <v>69771.88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69771.88</v>
      </c>
    </row>
    <row r="164" spans="1:7" x14ac:dyDescent="0.2">
      <c r="A164" s="22" t="s">
        <v>246</v>
      </c>
      <c r="B164" s="137">
        <f>'DOE25'!F503</f>
        <v>824771.88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824771.88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Hudson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13914</v>
      </c>
    </row>
    <row r="5" spans="1:4" x14ac:dyDescent="0.2">
      <c r="B5" t="s">
        <v>698</v>
      </c>
      <c r="C5" s="179">
        <f>IF('DOE25'!G665+'DOE25'!G670=0,0,ROUND('DOE25'!G672,0))</f>
        <v>13449</v>
      </c>
    </row>
    <row r="6" spans="1:4" x14ac:dyDescent="0.2">
      <c r="B6" t="s">
        <v>62</v>
      </c>
      <c r="C6" s="179">
        <f>IF('DOE25'!H665+'DOE25'!H670=0,0,ROUND('DOE25'!H672,0))</f>
        <v>13917</v>
      </c>
    </row>
    <row r="7" spans="1:4" x14ac:dyDescent="0.2">
      <c r="B7" t="s">
        <v>699</v>
      </c>
      <c r="C7" s="179">
        <f>IF('DOE25'!I665+'DOE25'!I670=0,0,ROUND('DOE25'!I672,0))</f>
        <v>13801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19483629</v>
      </c>
      <c r="D10" s="182">
        <f>ROUND((C10/$C$28)*100,1)</f>
        <v>38.5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8419867</v>
      </c>
      <c r="D11" s="182">
        <f>ROUND((C11/$C$28)*100,1)</f>
        <v>16.600000000000001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2172831</v>
      </c>
      <c r="D12" s="182">
        <f>ROUND((C12/$C$28)*100,1)</f>
        <v>4.3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696534</v>
      </c>
      <c r="D13" s="182">
        <f>ROUND((C13/$C$28)*100,1)</f>
        <v>1.4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4477495</v>
      </c>
      <c r="D15" s="182">
        <f t="shared" ref="D15:D27" si="0">ROUND((C15/$C$28)*100,1)</f>
        <v>8.8000000000000007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1656318</v>
      </c>
      <c r="D16" s="182">
        <f t="shared" si="0"/>
        <v>3.3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1415132</v>
      </c>
      <c r="D17" s="182">
        <f t="shared" si="0"/>
        <v>2.8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3105636</v>
      </c>
      <c r="D18" s="182">
        <f t="shared" si="0"/>
        <v>6.1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926829</v>
      </c>
      <c r="D19" s="182">
        <f t="shared" si="0"/>
        <v>1.8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5602673</v>
      </c>
      <c r="D20" s="182">
        <f t="shared" si="0"/>
        <v>11.1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2129471</v>
      </c>
      <c r="D21" s="182">
        <f t="shared" si="0"/>
        <v>4.2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84751</v>
      </c>
      <c r="D24" s="182">
        <f t="shared" si="0"/>
        <v>0.2</v>
      </c>
    </row>
    <row r="25" spans="1:4" x14ac:dyDescent="0.2">
      <c r="A25">
        <v>5120</v>
      </c>
      <c r="B25" t="s">
        <v>714</v>
      </c>
      <c r="C25" s="179">
        <f>ROUND('DOE25'!L261+'DOE25'!L342,0)</f>
        <v>105791</v>
      </c>
      <c r="D25" s="182">
        <f t="shared" si="0"/>
        <v>0.2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339316.77</v>
      </c>
      <c r="D27" s="182">
        <f t="shared" si="0"/>
        <v>0.7</v>
      </c>
    </row>
    <row r="28" spans="1:4" x14ac:dyDescent="0.2">
      <c r="B28" s="187" t="s">
        <v>717</v>
      </c>
      <c r="C28" s="180">
        <f>SUM(C10:C27)</f>
        <v>50616273.770000003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157676</v>
      </c>
    </row>
    <row r="30" spans="1:4" x14ac:dyDescent="0.2">
      <c r="B30" s="187" t="s">
        <v>723</v>
      </c>
      <c r="C30" s="180">
        <f>SUM(C28:C29)</f>
        <v>50773949.770000003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1081741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32865628</v>
      </c>
      <c r="D35" s="182">
        <f t="shared" ref="D35:D40" si="1">ROUND((C35/$C$41)*100,1)</f>
        <v>64.2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810268.06000000238</v>
      </c>
      <c r="D36" s="182">
        <f t="shared" si="1"/>
        <v>1.6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14225659</v>
      </c>
      <c r="D37" s="182">
        <f t="shared" si="1"/>
        <v>27.8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959191</v>
      </c>
      <c r="D38" s="182">
        <f t="shared" si="1"/>
        <v>1.9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2359535</v>
      </c>
      <c r="D39" s="182">
        <f t="shared" si="1"/>
        <v>4.5999999999999996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51220281.060000002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Hudson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2018-06-15T13:33:46Z</cp:lastPrinted>
  <dcterms:created xsi:type="dcterms:W3CDTF">1997-12-04T19:04:30Z</dcterms:created>
  <dcterms:modified xsi:type="dcterms:W3CDTF">2018-12-03T19:03:41Z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