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E124" i="2" s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D115" i="2"/>
  <c r="F115" i="2"/>
  <c r="G115" i="2"/>
  <c r="E119" i="2"/>
  <c r="E120" i="2"/>
  <c r="E123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J640" i="1" s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H476" i="1" s="1"/>
  <c r="H624" i="1" s="1"/>
  <c r="J624" i="1" s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D50" i="2"/>
  <c r="G156" i="2"/>
  <c r="D91" i="2"/>
  <c r="G62" i="2"/>
  <c r="D19" i="13"/>
  <c r="C19" i="13" s="1"/>
  <c r="E78" i="2"/>
  <c r="E81" i="2" s="1"/>
  <c r="J571" i="1"/>
  <c r="I169" i="1"/>
  <c r="J476" i="1"/>
  <c r="H626" i="1" s="1"/>
  <c r="J140" i="1"/>
  <c r="G22" i="2"/>
  <c r="H140" i="1"/>
  <c r="H571" i="1"/>
  <c r="H192" i="1"/>
  <c r="L570" i="1"/>
  <c r="G36" i="2"/>
  <c r="K550" i="1" l="1"/>
  <c r="A40" i="12"/>
  <c r="F552" i="1"/>
  <c r="H545" i="1"/>
  <c r="E31" i="2"/>
  <c r="H52" i="1"/>
  <c r="H619" i="1" s="1"/>
  <c r="J619" i="1" s="1"/>
  <c r="H338" i="1"/>
  <c r="H352" i="1" s="1"/>
  <c r="G338" i="1"/>
  <c r="G352" i="1" s="1"/>
  <c r="F338" i="1"/>
  <c r="F352" i="1" s="1"/>
  <c r="L328" i="1"/>
  <c r="K338" i="1"/>
  <c r="K352" i="1" s="1"/>
  <c r="F476" i="1"/>
  <c r="H622" i="1" s="1"/>
  <c r="J622" i="1" s="1"/>
  <c r="J641" i="1"/>
  <c r="C20" i="10"/>
  <c r="I257" i="1"/>
  <c r="I271" i="1" s="1"/>
  <c r="H257" i="1"/>
  <c r="H271" i="1" s="1"/>
  <c r="C121" i="2"/>
  <c r="C16" i="10"/>
  <c r="C110" i="2"/>
  <c r="C109" i="2"/>
  <c r="E8" i="13"/>
  <c r="C8" i="13" s="1"/>
  <c r="K257" i="1"/>
  <c r="K271" i="1" s="1"/>
  <c r="C11" i="10"/>
  <c r="D12" i="13"/>
  <c r="C12" i="13" s="1"/>
  <c r="C119" i="2"/>
  <c r="D7" i="13"/>
  <c r="C7" i="13" s="1"/>
  <c r="C91" i="2"/>
  <c r="J617" i="1"/>
  <c r="J634" i="1"/>
  <c r="L362" i="1"/>
  <c r="C27" i="10" s="1"/>
  <c r="G476" i="1"/>
  <c r="H623" i="1" s="1"/>
  <c r="J623" i="1" s="1"/>
  <c r="D18" i="2"/>
  <c r="D31" i="2"/>
  <c r="D51" i="2" s="1"/>
  <c r="C16" i="13"/>
  <c r="H663" i="1"/>
  <c r="I663" i="1" s="1"/>
  <c r="L614" i="1"/>
  <c r="E122" i="2"/>
  <c r="C21" i="10"/>
  <c r="H647" i="1"/>
  <c r="F662" i="1"/>
  <c r="I662" i="1" s="1"/>
  <c r="C124" i="2"/>
  <c r="G649" i="1"/>
  <c r="J649" i="1" s="1"/>
  <c r="D15" i="13"/>
  <c r="C15" i="13" s="1"/>
  <c r="D6" i="13"/>
  <c r="C6" i="13" s="1"/>
  <c r="C118" i="2"/>
  <c r="C15" i="10"/>
  <c r="C12" i="10"/>
  <c r="C111" i="2"/>
  <c r="L427" i="1"/>
  <c r="H169" i="1"/>
  <c r="H193" i="1" s="1"/>
  <c r="G629" i="1" s="1"/>
  <c r="J629" i="1" s="1"/>
  <c r="L393" i="1"/>
  <c r="C138" i="2" s="1"/>
  <c r="A13" i="12"/>
  <c r="D127" i="2"/>
  <c r="D128" i="2" s="1"/>
  <c r="D145" i="2" s="1"/>
  <c r="D17" i="13"/>
  <c r="C17" i="13" s="1"/>
  <c r="D14" i="13"/>
  <c r="C14" i="13" s="1"/>
  <c r="C18" i="10"/>
  <c r="L229" i="1"/>
  <c r="C17" i="10"/>
  <c r="H25" i="13"/>
  <c r="J645" i="1"/>
  <c r="J639" i="1"/>
  <c r="K598" i="1"/>
  <c r="G647" i="1" s="1"/>
  <c r="J647" i="1" s="1"/>
  <c r="F571" i="1"/>
  <c r="K571" i="1"/>
  <c r="L560" i="1"/>
  <c r="I545" i="1"/>
  <c r="E142" i="2"/>
  <c r="E144" i="2" s="1"/>
  <c r="C132" i="2"/>
  <c r="I551" i="1"/>
  <c r="K551" i="1" s="1"/>
  <c r="L539" i="1"/>
  <c r="G549" i="1"/>
  <c r="L529" i="1"/>
  <c r="E134" i="2"/>
  <c r="L351" i="1"/>
  <c r="F130" i="2"/>
  <c r="F144" i="2" s="1"/>
  <c r="F145" i="2" s="1"/>
  <c r="H112" i="1"/>
  <c r="E57" i="2"/>
  <c r="E62" i="2" s="1"/>
  <c r="E63" i="2" s="1"/>
  <c r="C35" i="10"/>
  <c r="C56" i="2"/>
  <c r="L309" i="1"/>
  <c r="E118" i="2"/>
  <c r="C10" i="10"/>
  <c r="L290" i="1"/>
  <c r="E109" i="2"/>
  <c r="E115" i="2" s="1"/>
  <c r="H661" i="1"/>
  <c r="D29" i="13"/>
  <c r="C29" i="13" s="1"/>
  <c r="F661" i="1"/>
  <c r="E13" i="13"/>
  <c r="C13" i="13" s="1"/>
  <c r="C19" i="10"/>
  <c r="C122" i="2"/>
  <c r="J643" i="1"/>
  <c r="J545" i="1"/>
  <c r="E103" i="2"/>
  <c r="L211" i="1"/>
  <c r="F22" i="13"/>
  <c r="C22" i="13" s="1"/>
  <c r="F112" i="1"/>
  <c r="J651" i="1"/>
  <c r="J257" i="1"/>
  <c r="J271" i="1" s="1"/>
  <c r="I52" i="1"/>
  <c r="H620" i="1" s="1"/>
  <c r="J620" i="1" s="1"/>
  <c r="G625" i="1"/>
  <c r="J625" i="1" s="1"/>
  <c r="B164" i="2"/>
  <c r="G164" i="2" s="1"/>
  <c r="K503" i="1"/>
  <c r="C123" i="2"/>
  <c r="C114" i="2"/>
  <c r="C78" i="2"/>
  <c r="C81" i="2" s="1"/>
  <c r="C18" i="2"/>
  <c r="L270" i="1"/>
  <c r="L382" i="1"/>
  <c r="G636" i="1" s="1"/>
  <c r="J636" i="1" s="1"/>
  <c r="C62" i="2"/>
  <c r="L544" i="1"/>
  <c r="L524" i="1"/>
  <c r="J338" i="1"/>
  <c r="J352" i="1" s="1"/>
  <c r="C120" i="2"/>
  <c r="C29" i="10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C50" i="2"/>
  <c r="F31" i="2"/>
  <c r="C31" i="2"/>
  <c r="E18" i="2"/>
  <c r="F50" i="2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51" i="2" l="1"/>
  <c r="I552" i="1"/>
  <c r="E104" i="2"/>
  <c r="C39" i="10"/>
  <c r="F51" i="2"/>
  <c r="F193" i="1"/>
  <c r="G627" i="1" s="1"/>
  <c r="J627" i="1" s="1"/>
  <c r="C36" i="10"/>
  <c r="G635" i="1"/>
  <c r="J635" i="1" s="1"/>
  <c r="I661" i="1"/>
  <c r="G667" i="1"/>
  <c r="C144" i="2"/>
  <c r="L545" i="1"/>
  <c r="K549" i="1"/>
  <c r="K552" i="1" s="1"/>
  <c r="G552" i="1"/>
  <c r="C25" i="13"/>
  <c r="H33" i="13"/>
  <c r="C128" i="2"/>
  <c r="H648" i="1"/>
  <c r="J648" i="1" s="1"/>
  <c r="E128" i="2"/>
  <c r="E145" i="2" s="1"/>
  <c r="F660" i="1"/>
  <c r="D31" i="13"/>
  <c r="C31" i="13" s="1"/>
  <c r="L338" i="1"/>
  <c r="L352" i="1" s="1"/>
  <c r="G633" i="1" s="1"/>
  <c r="J633" i="1" s="1"/>
  <c r="C63" i="2"/>
  <c r="C104" i="2" s="1"/>
  <c r="E33" i="13"/>
  <c r="D35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F664" i="1" l="1"/>
  <c r="C41" i="10"/>
  <c r="D38" i="10" s="1"/>
  <c r="F672" i="1" l="1"/>
  <c r="C4" i="10" s="1"/>
  <c r="F667" i="1"/>
  <c r="D37" i="10"/>
  <c r="D36" i="10"/>
  <c r="D35" i="10"/>
  <c r="D40" i="10"/>
  <c r="D39" i="10"/>
  <c r="D41" i="10" l="1"/>
  <c r="C36" i="12"/>
  <c r="L236" i="1"/>
  <c r="G247" i="1"/>
  <c r="G257" i="1" s="1"/>
  <c r="G271" i="1" s="1"/>
  <c r="D5" i="13" l="1"/>
  <c r="C13" i="10"/>
  <c r="C28" i="10" s="1"/>
  <c r="D11" i="10" s="1"/>
  <c r="C112" i="2"/>
  <c r="C115" i="2" s="1"/>
  <c r="C145" i="2" s="1"/>
  <c r="L247" i="1"/>
  <c r="L257" i="1" s="1"/>
  <c r="L271" i="1" s="1"/>
  <c r="G632" i="1" s="1"/>
  <c r="J632" i="1" s="1"/>
  <c r="D22" i="10" l="1"/>
  <c r="D24" i="10"/>
  <c r="D21" i="10"/>
  <c r="H660" i="1"/>
  <c r="I660" i="1" s="1"/>
  <c r="I664" i="1" s="1"/>
  <c r="C5" i="13"/>
  <c r="D33" i="13"/>
  <c r="D36" i="13" s="1"/>
  <c r="D25" i="10"/>
  <c r="D23" i="10"/>
  <c r="D16" i="10"/>
  <c r="D17" i="10"/>
  <c r="D20" i="10"/>
  <c r="D13" i="10"/>
  <c r="D27" i="10"/>
  <c r="D26" i="10"/>
  <c r="D12" i="10"/>
  <c r="D18" i="10"/>
  <c r="D10" i="10"/>
  <c r="D19" i="10"/>
  <c r="C30" i="10"/>
  <c r="D15" i="10"/>
  <c r="H656" i="1"/>
  <c r="H664" i="1" l="1"/>
  <c r="H672" i="1" s="1"/>
  <c r="C6" i="10" s="1"/>
  <c r="D28" i="10"/>
  <c r="I667" i="1"/>
  <c r="I672" i="1"/>
  <c r="C7" i="10" s="1"/>
  <c r="H667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<sst xmlns="http://schemas.openxmlformats.org/spreadsheetml/2006/main" count="3957" uniqueCount="913">
  <si>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</si>
  <si>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</si>
  <si>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</si>
  <si>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</si>
  <si>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</si>
  <si>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</si>
  <si>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</si>
  <si>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</si>
  <si>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</si>
  <si>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</si>
  <si>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</si>
  <si>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</si>
  <si>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</si>
  <si>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</si>
  <si>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</si>
  <si>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</si>
  <si>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</si>
  <si>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</si>
  <si>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</si>
  <si>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</si>
  <si>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</si>
  <si>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</si>
  <si>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</si>
  <si>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</si>
  <si>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</si>
  <si>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</si>
  <si>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</si>
  <si>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</si>
  <si>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</si>
  <si>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</si>
  <si>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</si>
  <si>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</si>
  <si>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</si>
  <si>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</si>
  <si>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</si>
  <si>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</si>
  <si>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</si>
  <si>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</si>
  <si>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</si>
  <si>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</si>
  <si>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</si>
  <si>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</si>
  <si>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</si>
  <si>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</si>
  <si>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</si>
  <si>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</si>
  <si>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</si>
  <si>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</si>
  <si>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</si>
  <si>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</si>
  <si>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</si>
  <si>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</si>
  <si>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</si>
  <si>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</si>
  <si>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</si>
  <si>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</si>
  <si>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</si>
  <si>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</si>
  <si>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</si>
  <si>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</si>
  <si>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</si>
  <si>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</si>
  <si>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</si>
  <si>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</si>
  <si>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</si>
  <si>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</si>
  <si>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</si>
  <si>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</si>
  <si>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</si>
  <si>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</si>
  <si>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</si>
  <si>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</si>
  <si>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</si>
  <si>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</si>
  <si>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</si>
  <si>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</si>
  <si>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</si>
  <si>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</si>
  <si>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</si>
  <si>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</si>
  <si>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</si>
  <si>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</si>
  <si>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</si>
  <si>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</si>
  <si>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</si>
  <si>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</si>
  <si>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</si>
  <si>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</si>
  <si>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</si>
  <si>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</si>
  <si>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</si>
  <si>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</si>
  <si>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</si>
  <si>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</si>
  <si>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</si>
  <si>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</si>
  <si>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</si>
  <si>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</si>
  <si>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</si>
  <si>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</si>
  <si>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</si>
  <si>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</si>
  <si>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</si>
  <si>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</si>
  <si>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</si>
  <si>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</si>
  <si>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</si>
  <si>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</si>
  <si>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</si>
  <si>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</si>
  <si>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</si>
  <si>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</si>
  <si>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</si>
  <si>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</si>
  <si>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</si>
  <si>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</si>
  <si>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</si>
  <si>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</si>
  <si>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</si>
  <si>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</si>
  <si>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</si>
  <si>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</si>
  <si>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</si>
  <si>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</si>
  <si>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</si>
  <si>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</si>
  <si>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</si>
  <si>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</si>
  <si>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</si>
  <si>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</si>
  <si>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</si>
  <si>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</si>
  <si>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</si>
  <si>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</si>
  <si>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</si>
  <si>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</si>
  <si>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</si>
  <si>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</si>
  <si>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</si>
  <si>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</si>
  <si>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</si>
  <si>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</si>
  <si>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</si>
  <si>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</si>
  <si>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</si>
  <si>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</si>
  <si>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</si>
  <si>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</si>
  <si>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</si>
  <si>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</si>
  <si>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</si>
  <si>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</si>
  <si>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</si>
  <si>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</si>
  <si>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</si>
  <si>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</si>
  <si>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</si>
  <si>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</si>
  <si>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</si>
  <si>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</si>
  <si>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</si>
  <si>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</si>
  <si>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</si>
  <si>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</si>
  <si>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</si>
  <si>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</si>
  <si>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</si>
  <si>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</si>
  <si>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</si>
  <si>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</si>
  <si>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</si>
  <si>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</si>
  <si>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</si>
  <si>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</si>
  <si>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</si>
  <si>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</si>
  <si>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</si>
  <si>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</si>
  <si>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</si>
  <si>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</si>
  <si>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</si>
  <si>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</si>
  <si>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</si>
  <si>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</si>
  <si>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</si>
  <si>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</si>
  <si>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</si>
  <si>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</si>
  <si>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</si>
  <si>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</si>
  <si>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</si>
  <si>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</si>
  <si>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</si>
  <si>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</si>
  <si>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</si>
  <si>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</si>
  <si>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</si>
  <si>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</si>
  <si>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</si>
  <si>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</si>
  <si>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</si>
  <si>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</si>
  <si>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</si>
  <si>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</si>
  <si>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</si>
  <si>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</si>
  <si>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</si>
  <si>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</si>
  <si>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</si>
  <si>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</si>
  <si>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</si>
  <si>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</si>
  <si>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</si>
  <si>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</si>
  <si>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</si>
  <si>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</si>
  <si>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</si>
  <si>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</si>
  <si>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</si>
  <si>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</si>
  <si>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</si>
  <si>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</si>
  <si>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</si>
  <si>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</si>
  <si>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</si>
  <si>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</si>
  <si>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</si>
  <si>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</si>
  <si>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</si>
  <si>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</si>
  <si>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</si>
  <si>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</si>
  <si>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</si>
  <si>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</si>
  <si>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</si>
  <si>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</si>
  <si>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</si>
  <si>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</si>
  <si>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</si>
  <si>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</si>
  <si>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</si>
  <si>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</si>
  <si>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</si>
  <si>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</si>
  <si>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</si>
  <si>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</si>
  <si>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</si>
  <si>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</si>
  <si>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</si>
  <si>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</si>
  <si>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</si>
  <si>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</si>
  <si>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</si>
  <si>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</si>
  <si>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</si>
  <si>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</si>
  <si>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</si>
  <si>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</si>
  <si>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</si>
  <si>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</si>
  <si>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</si>
  <si>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</si>
  <si>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</si>
  <si>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</si>
  <si>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</si>
  <si>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</si>
  <si>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</si>
  <si>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</si>
  <si>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</si>
  <si>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</si>
  <si>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</si>
  <si>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</si>
  <si>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</si>
  <si>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</si>
  <si>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</si>
  <si>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</si>
  <si>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</si>
  <si>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</si>
  <si>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</si>
  <si>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</si>
  <si>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</si>
  <si>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</si>
  <si>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</si>
  <si>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</si>
  <si>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</si>
  <si>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</si>
  <si>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</si>
  <si>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</si>
  <si>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</si>
  <si>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</si>
  <si>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</si>
  <si>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</si>
  <si>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</si>
  <si>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</si>
  <si>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</si>
  <si>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</si>
  <si>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</si>
  <si>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</si>
  <si>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</si>
  <si>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</si>
  <si>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</si>
  <si>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</si>
  <si>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</si>
  <si>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</si>
  <si>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</si>
  <si>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</si>
  <si>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</si>
  <si>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</si>
  <si>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</si>
  <si>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</si>
  <si>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</si>
  <si>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</si>
  <si>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</si>
  <si>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</si>
  <si>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</si>
  <si>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</si>
  <si>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</si>
  <si>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</si>
  <si>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</si>
  <si>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</si>
  <si>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</si>
  <si>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</si>
  <si>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</si>
  <si>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</si>
  <si>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</si>
  <si>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</si>
  <si>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</si>
  <si>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</si>
  <si>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</si>
  <si>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</si>
  <si>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</si>
  <si>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</si>
  <si>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</si>
  <si>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</si>
  <si>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</si>
  <si>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</si>
  <si>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</si>
  <si>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</si>
  <si>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</si>
  <si>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</si>
  <si>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</si>
  <si>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</si>
  <si>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</si>
  <si>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</si>
  <si>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</si>
  <si>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</si>
  <si>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</si>
  <si>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</si>
  <si>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</si>
  <si>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</si>
  <si>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</si>
  <si>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</si>
  <si>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</si>
  <si>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</si>
  <si>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</si>
  <si>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</si>
  <si>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</si>
  <si>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</si>
  <si>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</si>
  <si>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</si>
  <si>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</si>
  <si>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</si>
  <si>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</si>
  <si>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</si>
  <si>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</si>
  <si>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</si>
  <si>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</si>
  <si>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</si>
  <si>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</si>
  <si>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</si>
  <si>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</si>
  <si>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</si>
  <si>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</si>
  <si>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</si>
  <si>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</si>
  <si>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</si>
  <si>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</si>
  <si>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</si>
  <si>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</si>
  <si>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</si>
  <si>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</si>
  <si>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</si>
  <si>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</si>
  <si>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</si>
  <si>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</si>
  <si>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</si>
  <si>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</si>
  <si>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</si>
  <si>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</si>
  <si>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</si>
  <si>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</si>
  <si>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</si>
  <si>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</si>
  <si>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</si>
  <si>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</si>
  <si>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</si>
  <si>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</si>
  <si>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</si>
  <si>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</si>
  <si>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</si>
  <si>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</si>
  <si>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</si>
  <si>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</si>
  <si>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</si>
  <si>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</si>
  <si>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</si>
  <si>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</si>
  <si>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</si>
  <si>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</si>
  <si>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</si>
  <si>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</si>
  <si>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</si>
  <si>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</si>
  <si>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</si>
  <si>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</si>
  <si>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</si>
  <si>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</si>
  <si>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</si>
  <si>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</si>
  <si>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</si>
  <si>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</si>
  <si>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</si>
  <si>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</si>
  <si>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</si>
  <si>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</si>
  <si>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</si>
  <si>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</si>
  <si>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</si>
  <si>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</si>
  <si>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</si>
  <si>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</si>
  <si>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</si>
  <si>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</si>
  <si>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</si>
  <si>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</si>
  <si>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</si>
  <si>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</si>
  <si>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</si>
  <si>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</si>
  <si>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</si>
  <si>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</si>
  <si>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</si>
  <si>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</si>
  <si>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</si>
  <si>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</si>
  <si>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</si>
  <si>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</si>
  <si>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</si>
  <si>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</si>
  <si>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</si>
  <si>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</si>
  <si>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</si>
  <si>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</si>
  <si>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</si>
  <si>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</si>
  <si>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</si>
  <si>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</si>
  <si>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</si>
  <si>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</si>
  <si>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</si>
  <si>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</si>
  <si>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</si>
  <si>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</si>
  <si>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</si>
  <si>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</si>
  <si>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</si>
  <si>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</si>
  <si>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</si>
  <si>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</si>
  <si>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</si>
  <si>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</si>
  <si>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</si>
  <si>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</si>
  <si>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</si>
  <si>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</si>
  <si>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</si>
  <si>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</si>
  <si>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</si>
  <si>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</si>
  <si>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</si>
  <si>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</si>
  <si>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</si>
  <si>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</si>
  <si>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</si>
  <si>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</si>
  <si>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</si>
  <si>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</si>
  <si>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</si>
  <si>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</si>
  <si>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</si>
  <si>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</si>
  <si>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</si>
  <si>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</si>
  <si>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</si>
  <si>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</si>
  <si>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</si>
  <si>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</si>
  <si>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</si>
  <si>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</si>
  <si>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</si>
  <si>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</si>
  <si>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</si>
  <si>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</si>
  <si>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</si>
  <si>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</si>
  <si>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</si>
  <si>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</si>
  <si>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</si>
  <si>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</si>
  <si>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</si>
  <si>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</si>
  <si>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</si>
  <si>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</si>
  <si>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</si>
  <si>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</si>
  <si>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</si>
  <si>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</si>
  <si>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</si>
  <si>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</si>
  <si>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</si>
  <si>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</si>
  <si>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</si>
  <si>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</si>
  <si>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</si>
  <si>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</si>
  <si>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</si>
  <si>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</si>
  <si>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</si>
  <si>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</si>
  <si>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</si>
  <si>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</si>
  <si>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</si>
  <si>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</si>
  <si>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</si>
  <si>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</si>
  <si>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</si>
  <si>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</si>
  <si>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</si>
  <si>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</si>
  <si>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</si>
  <si>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</si>
  <si>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</si>
  <si>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</si>
  <si>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</si>
  <si>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</si>
  <si>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</si>
  <si>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</si>
  <si>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</si>
  <si>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</si>
  <si>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</si>
  <si>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</si>
  <si>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</si>
  <si>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</si>
  <si>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</si>
  <si>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</si>
  <si>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</si>
  <si>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</si>
  <si>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</si>
  <si>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</si>
  <si>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</si>
  <si>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</si>
  <si>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</si>
  <si>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</si>
  <si>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</si>
  <si>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</si>
  <si>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</si>
  <si>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</si>
  <si>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</si>
  <si>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</si>
  <si>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</si>
  <si>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</si>
  <si>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</si>
  <si>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</si>
  <si>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</si>
  <si>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</si>
  <si>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</si>
  <si>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</si>
  <si>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</si>
  <si>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</si>
  <si>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</si>
  <si>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</si>
  <si>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</si>
  <si>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</si>
  <si>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</si>
  <si>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</si>
  <si>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</si>
  <si>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</si>
  <si>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</si>
  <si>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</si>
  <si>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</si>
  <si>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</si>
  <si>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</si>
  <si>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</si>
  <si>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</si>
  <si>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</si>
  <si>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</si>
  <si>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</si>
  <si>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</si>
  <si>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</si>
  <si>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</si>
  <si>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</si>
  <si>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</si>
  <si>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</si>
  <si>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</si>
  <si>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</si>
  <si>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</si>
  <si>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</si>
  <si>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</si>
  <si>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</si>
  <si>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</si>
  <si>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</si>
  <si>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</si>
  <si>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</si>
  <si>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</si>
  <si>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</si>
  <si>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</si>
  <si>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</si>
  <si>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</si>
  <si>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</si>
  <si>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</si>
  <si>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</si>
  <si>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</si>
  <si>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</si>
  <si>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</si>
  <si>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</si>
  <si>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</si>
  <si>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</si>
  <si>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</si>
  <si>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</si>
  <si>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</si>
  <si>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</si>
  <si>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</si>
  <si>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</si>
  <si>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</si>
  <si>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</si>
  <si>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</si>
  <si>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</si>
  <si>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</si>
  <si>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</si>
  <si>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</si>
  <si>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</si>
  <si>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</si>
  <si>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</si>
  <si>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</si>
  <si>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</si>
  <si>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</si>
  <si>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</si>
  <si>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</si>
  <si>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</si>
  <si>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</si>
  <si>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</si>
  <si>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</si>
  <si>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</si>
  <si>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</si>
  <si>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</si>
  <si>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</si>
  <si>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</si>
  <si>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</si>
  <si>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</si>
  <si>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</si>
  <si>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</si>
  <si>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</si>
  <si>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</si>
  <si>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</si>
  <si>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</si>
  <si>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</si>
  <si>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</si>
  <si>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</si>
  <si>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</si>
  <si>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</si>
  <si>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</si>
  <si>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</si>
  <si>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</si>
  <si>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</si>
  <si>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</si>
  <si>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</si>
  <si>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</si>
  <si>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</si>
  <si>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</si>
  <si>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</si>
  <si>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</si>
  <si>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</si>
  <si>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</si>
  <si>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</si>
  <si>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</si>
  <si>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</si>
  <si>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</si>
  <si>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</si>
  <si>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</si>
  <si>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</si>
  <si>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</si>
  <si>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</si>
  <si>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</si>
  <si>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</si>
  <si>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</si>
  <si>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</si>
  <si>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</si>
  <si>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</si>
  <si>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</si>
  <si>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</si>
  <si>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</si>
  <si>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</si>
  <si>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</si>
  <si>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</si>
  <si>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</si>
  <si>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</si>
  <si>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</si>
  <si>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</si>
  <si>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</si>
  <si>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</si>
  <si>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</si>
  <si>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</si>
  <si>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</si>
  <si>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</si>
  <si>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</si>
  <si>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</si>
  <si>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</si>
  <si>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</si>
  <si>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</si>
  <si>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</si>
  <si>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</si>
  <si>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</si>
  <si>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</si>
  <si>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</si>
  <si>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</si>
  <si>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</si>
  <si>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</si>
  <si>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</si>
  <si>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</si>
  <si>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</si>
  <si>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</si>
  <si>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</si>
  <si>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</si>
  <si>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</si>
  <si>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</si>
  <si>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</si>
  <si>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</si>
  <si>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</si>
  <si>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</si>
  <si>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</si>
  <si>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</si>
  <si>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</si>
  <si>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</si>
  <si>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</si>
  <si>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</si>
  <si>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</si>
  <si>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</si>
  <si>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</si>
  <si>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</si>
  <si>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</si>
  <si>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</si>
  <si>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</si>
  <si>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</si>
  <si>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</si>
  <si>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</si>
  <si>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</si>
  <si>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</si>
  <si>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</si>
  <si>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</si>
  <si>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</si>
  <si>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</si>
  <si>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</si>
  <si>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</si>
  <si>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</si>
  <si>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</si>
  <si>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</si>
  <si>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</si>
  <si>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</si>
  <si>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</si>
  <si>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</si>
  <si>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</si>
  <si>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</si>
  <si>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</si>
  <si>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</si>
  <si>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</si>
  <si>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</si>
  <si>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</si>
  <si>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</si>
  <si>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</si>
  <si>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</si>
  <si>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</si>
  <si>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</si>
  <si>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</si>
  <si>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</si>
  <si>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</si>
  <si>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</si>
  <si>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</si>
  <si>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</si>
  <si>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</si>
  <si>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</si>
  <si>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</si>
  <si>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</si>
  <si>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</si>
  <si>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</si>
  <si>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</si>
  <si>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</si>
  <si>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</si>
  <si>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</si>
  <si>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</si>
  <si>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</si>
  <si>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</si>
  <si>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</si>
  <si>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</si>
  <si>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</si>
  <si>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</si>
  <si>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</si>
  <si>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</si>
  <si>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</si>
  <si>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</si>
  <si>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</si>
  <si>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</si>
  <si>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</si>
  <si>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</si>
  <si>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</si>
  <si>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</si>
  <si>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</si>
  <si>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</si>
  <si>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</si>
  <si>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</si>
  <si>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</si>
  <si>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</si>
  <si>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</si>
  <si>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</si>
  <si>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</si>
  <si>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</si>
  <si>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</si>
  <si>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</si>
  <si>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</si>
  <si>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</si>
  <si>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</si>
  <si>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</si>
  <si>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</si>
  <si>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</si>
  <si>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</si>
  <si>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</si>
  <si>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</si>
  <si>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</si>
  <si>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</si>
  <si>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</si>
  <si>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</si>
  <si>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</si>
  <si>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</si>
  <si>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</si>
  <si>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</si>
  <si>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</si>
  <si>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</si>
  <si>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</si>
  <si>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</si>
  <si>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</si>
  <si>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</si>
  <si>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</si>
  <si>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</si>
  <si>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</si>
  <si>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</si>
  <si>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</si>
  <si>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</si>
  <si>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</si>
  <si>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</si>
  <si>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</si>
  <si>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</si>
  <si>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</si>
  <si>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</si>
  <si>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</si>
  <si>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</si>
  <si>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</si>
  <si>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</si>
  <si>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</si>
  <si>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</si>
  <si>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</si>
  <si>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</si>
  <si>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</si>
  <si>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</si>
  <si>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</si>
  <si>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</si>
  <si>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</si>
  <si>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</si>
  <si>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</si>
  <si>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</si>
  <si>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</si>
  <si>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</si>
  <si>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</si>
  <si>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</si>
  <si>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</si>
  <si>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</si>
  <si>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</si>
  <si>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</si>
  <si>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</si>
  <si>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</si>
  <si>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</si>
  <si>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</si>
  <si>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</si>
  <si>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</si>
  <si>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</si>
  <si>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</si>
  <si>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</si>
  <si>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</si>
  <si>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</si>
  <si>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</si>
  <si>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</si>
  <si>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</si>
  <si>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</si>
  <si>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</si>
  <si>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</si>
  <si>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</si>
  <si>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</si>
  <si>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</si>
  <si>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</si>
  <si>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</si>
  <si>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</si>
  <si>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</si>
  <si>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</si>
  <si>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</si>
  <si>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INTERLAKES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</si>
</sst>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269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140722.98000000001</v>
      </c>
      <c r="G9" s="18"/>
      <c r="H9" s="18"/>
      <c r="I9" s="18">
        <v>3231.11</v>
      </c>
      <c r="J9" s="67">
        <f>SUM(I439)</f>
        <v>595196.51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1204398.76</v>
      </c>
      <c r="G12" s="18">
        <v>458280.08</v>
      </c>
      <c r="H12" s="18">
        <v>506008.39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245922.54</v>
      </c>
      <c r="G13" s="18">
        <v>15034.75</v>
      </c>
      <c r="H13" s="18">
        <v>50606.33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1139.79</v>
      </c>
      <c r="G14" s="18">
        <v>26990.33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661162.51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2253346.58</v>
      </c>
      <c r="G19" s="41">
        <f>SUM(G9:G18)</f>
        <v>500305.16000000003</v>
      </c>
      <c r="H19" s="41">
        <f>SUM(H9:H18)</f>
        <v>556614.72</v>
      </c>
      <c r="I19" s="41">
        <f>SUM(I9:I18)</f>
        <v>3231.11</v>
      </c>
      <c r="J19" s="41">
        <f>SUM(J9:J18)</f>
        <v>595196.51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1168626.6100000001</v>
      </c>
      <c r="G22" s="18">
        <v>461679.55</v>
      </c>
      <c r="H22" s="18">
        <v>489733.83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v>3033.44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193033.01</v>
      </c>
      <c r="G24" s="18"/>
      <c r="H24" s="18">
        <v>263.8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10744.17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1372403.79</v>
      </c>
      <c r="G32" s="41">
        <f>SUM(G22:G31)</f>
        <v>461679.55</v>
      </c>
      <c r="H32" s="41">
        <f>SUM(H22:H31)</f>
        <v>493031.07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38625.61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63583.65</v>
      </c>
      <c r="I48" s="18">
        <v>3231.11</v>
      </c>
      <c r="J48" s="13">
        <f>SUM(I459)</f>
        <v>595196.51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307242.77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448700.02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880942.79</v>
      </c>
      <c r="G51" s="41">
        <f>SUM(G35:G50)</f>
        <v>38625.61</v>
      </c>
      <c r="H51" s="41">
        <f>SUM(H35:H50)</f>
        <v>63583.65</v>
      </c>
      <c r="I51" s="41">
        <f>SUM(I35:I50)</f>
        <v>3231.11</v>
      </c>
      <c r="J51" s="41">
        <f>SUM(J35:J50)</f>
        <v>595196.51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2253346.58</v>
      </c>
      <c r="G52" s="41">
        <f>G51+G32</f>
        <v>500305.16</v>
      </c>
      <c r="H52" s="41">
        <f>H51+H32</f>
        <v>556614.72</v>
      </c>
      <c r="I52" s="41">
        <f>I51+I32</f>
        <v>3231.11</v>
      </c>
      <c r="J52" s="41">
        <f>J51+J32</f>
        <v>595196.51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17460778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17460778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49770.64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49770.64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2071.2399999999998</v>
      </c>
      <c r="G96" s="18"/>
      <c r="H96" s="18"/>
      <c r="I96" s="18"/>
      <c r="J96" s="18">
        <v>7365.53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248495.9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1926.1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32717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26293.66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525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6804.51</v>
      </c>
      <c r="G110" s="18"/>
      <c r="H110" s="18">
        <v>23380.17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44043.85</v>
      </c>
      <c r="G111" s="41">
        <f>SUM(G96:G110)</f>
        <v>248495.9</v>
      </c>
      <c r="H111" s="41">
        <f>SUM(H96:H110)</f>
        <v>49673.83</v>
      </c>
      <c r="I111" s="41">
        <f>SUM(I96:I110)</f>
        <v>0</v>
      </c>
      <c r="J111" s="41">
        <f>SUM(J96:J110)</f>
        <v>7365.53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17554592.490000002</v>
      </c>
      <c r="G112" s="41">
        <f>G60+G111</f>
        <v>248495.9</v>
      </c>
      <c r="H112" s="41">
        <f>H60+H79+H94+H111</f>
        <v>49673.83</v>
      </c>
      <c r="I112" s="41">
        <f>I60+I111</f>
        <v>0</v>
      </c>
      <c r="J112" s="41">
        <f>J60+J111</f>
        <v>7365.53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6017521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6017521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84552.66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14797.4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5709.18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99350.06</v>
      </c>
      <c r="G136" s="41">
        <f>SUM(G123:G135)</f>
        <v>5709.18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6116871.0599999996</v>
      </c>
      <c r="G140" s="41">
        <f>G121+SUM(G136:G137)</f>
        <v>5709.18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250280.31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144360.84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3414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178165.92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115117.3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40524.68</v>
      </c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155641.98000000001</v>
      </c>
      <c r="G162" s="41">
        <f>SUM(G150:G161)</f>
        <v>178165.92</v>
      </c>
      <c r="H162" s="41">
        <f>SUM(H150:H161)</f>
        <v>398055.15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8016.9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163658.88</v>
      </c>
      <c r="G169" s="41">
        <f>G147+G162+SUM(G163:G168)</f>
        <v>178165.92</v>
      </c>
      <c r="H169" s="41">
        <f>H147+H162+SUM(H163:H168)</f>
        <v>398055.15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>
        <v>5176.68</v>
      </c>
      <c r="J179" s="18">
        <v>100000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5176.68</v>
      </c>
      <c r="J183" s="41">
        <f>SUM(J179:J182)</f>
        <v>100000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5176.68</v>
      </c>
      <c r="J192" s="41">
        <f>J183</f>
        <v>100000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23835122.43</v>
      </c>
      <c r="G193" s="47">
        <f>G112+G140+G169+G192</f>
        <v>432371</v>
      </c>
      <c r="H193" s="47">
        <f>H112+H140+H169+H192</f>
        <v>447728.98000000004</v>
      </c>
      <c r="I193" s="47">
        <f>I112+I140+I169+I192</f>
        <v>5176.68</v>
      </c>
      <c r="J193" s="47">
        <f>J112+J140+J192</f>
        <v>107365.53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4071698.37</v>
      </c>
      <c r="G197" s="18">
        <v>1930983.61</v>
      </c>
      <c r="H197" s="18">
        <v>71514.8</v>
      </c>
      <c r="I197" s="18">
        <v>93752.62</v>
      </c>
      <c r="J197" s="18">
        <v>9060.52</v>
      </c>
      <c r="K197" s="18">
        <v>54</v>
      </c>
      <c r="L197" s="19">
        <f>SUM(F197:K197)</f>
        <v>6177063.9199999999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1745505.28</v>
      </c>
      <c r="G198" s="18">
        <v>776917.38</v>
      </c>
      <c r="H198" s="18">
        <v>78901.039999999994</v>
      </c>
      <c r="I198" s="18">
        <v>12105.21</v>
      </c>
      <c r="J198" s="18">
        <v>22.69</v>
      </c>
      <c r="K198" s="18"/>
      <c r="L198" s="19">
        <f>SUM(F198:K198)</f>
        <v>2613451.6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97452</v>
      </c>
      <c r="G200" s="18">
        <v>18237.28</v>
      </c>
      <c r="H200" s="18">
        <v>5361.34</v>
      </c>
      <c r="I200" s="18">
        <v>3146.3</v>
      </c>
      <c r="J200" s="18"/>
      <c r="K200" s="18">
        <v>3210</v>
      </c>
      <c r="L200" s="19">
        <f>SUM(F200:K200)</f>
        <v>127406.92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635915.34</v>
      </c>
      <c r="G202" s="18">
        <v>322726.46999999997</v>
      </c>
      <c r="H202" s="18">
        <v>104355.81</v>
      </c>
      <c r="I202" s="18">
        <v>5983.77</v>
      </c>
      <c r="J202" s="18">
        <v>921.71</v>
      </c>
      <c r="K202" s="18">
        <v>282.60000000000002</v>
      </c>
      <c r="L202" s="19">
        <f t="shared" ref="L202:L208" si="0">SUM(F202:K202)</f>
        <v>1070185.7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390499.05</v>
      </c>
      <c r="G203" s="18">
        <v>216718.27</v>
      </c>
      <c r="H203" s="18">
        <v>176850.23</v>
      </c>
      <c r="I203" s="18">
        <v>100277.58</v>
      </c>
      <c r="J203" s="18">
        <v>175462.63</v>
      </c>
      <c r="K203" s="18">
        <v>350.35</v>
      </c>
      <c r="L203" s="19">
        <f t="shared" si="0"/>
        <v>1060158.1099999999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8015.07</v>
      </c>
      <c r="G204" s="18">
        <v>635.29999999999995</v>
      </c>
      <c r="H204" s="18">
        <v>578156.01</v>
      </c>
      <c r="I204" s="18">
        <v>3029.1</v>
      </c>
      <c r="J204" s="18"/>
      <c r="K204" s="18">
        <v>6515.03</v>
      </c>
      <c r="L204" s="19">
        <f t="shared" si="0"/>
        <v>596350.51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548437.43000000005</v>
      </c>
      <c r="G205" s="18">
        <v>322842.75</v>
      </c>
      <c r="H205" s="18">
        <v>48946.37</v>
      </c>
      <c r="I205" s="18">
        <v>2982.38</v>
      </c>
      <c r="J205" s="18"/>
      <c r="K205" s="18">
        <v>462</v>
      </c>
      <c r="L205" s="19">
        <f t="shared" si="0"/>
        <v>923670.93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9286.8799999999992</v>
      </c>
      <c r="G206" s="18">
        <v>736.06</v>
      </c>
      <c r="H206" s="18"/>
      <c r="I206" s="18">
        <v>187.25</v>
      </c>
      <c r="J206" s="18">
        <v>4508.3999999999996</v>
      </c>
      <c r="K206" s="18"/>
      <c r="L206" s="19">
        <f t="shared" si="0"/>
        <v>14718.589999999998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378691.62</v>
      </c>
      <c r="G207" s="18">
        <v>294874.94</v>
      </c>
      <c r="H207" s="18">
        <v>579714.43000000005</v>
      </c>
      <c r="I207" s="18">
        <v>286783.11</v>
      </c>
      <c r="J207" s="18">
        <v>159168.9</v>
      </c>
      <c r="K207" s="18">
        <v>87.1</v>
      </c>
      <c r="L207" s="19">
        <f t="shared" si="0"/>
        <v>1699320.1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687758.16</v>
      </c>
      <c r="I208" s="18"/>
      <c r="J208" s="18"/>
      <c r="K208" s="18"/>
      <c r="L208" s="19">
        <f t="shared" si="0"/>
        <v>687758.16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>
        <v>639425.51</v>
      </c>
      <c r="H209" s="18"/>
      <c r="I209" s="18"/>
      <c r="J209" s="18"/>
      <c r="K209" s="18"/>
      <c r="L209" s="19">
        <f>SUM(F209:K209)</f>
        <v>639425.51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7885501.04</v>
      </c>
      <c r="G211" s="41">
        <f t="shared" si="1"/>
        <v>4524097.57</v>
      </c>
      <c r="H211" s="41">
        <f t="shared" si="1"/>
        <v>2331558.1900000004</v>
      </c>
      <c r="I211" s="41">
        <f t="shared" si="1"/>
        <v>508247.31999999995</v>
      </c>
      <c r="J211" s="41">
        <f t="shared" si="1"/>
        <v>349144.85</v>
      </c>
      <c r="K211" s="41">
        <f t="shared" si="1"/>
        <v>10961.08</v>
      </c>
      <c r="L211" s="41">
        <f t="shared" si="1"/>
        <v>15609510.049999997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1852000.56</v>
      </c>
      <c r="G233" s="18">
        <v>860547.39</v>
      </c>
      <c r="H233" s="18">
        <v>7538.49</v>
      </c>
      <c r="I233" s="18">
        <v>67872.44</v>
      </c>
      <c r="J233" s="18">
        <v>24360.9</v>
      </c>
      <c r="K233" s="18"/>
      <c r="L233" s="19">
        <f>SUM(F233:K233)</f>
        <v>2812319.7800000003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597817.46</v>
      </c>
      <c r="G234" s="18">
        <v>237128.55</v>
      </c>
      <c r="H234" s="18">
        <v>115973.41</v>
      </c>
      <c r="I234" s="18">
        <v>2301.62</v>
      </c>
      <c r="J234" s="18">
        <v>142.16999999999999</v>
      </c>
      <c r="K234" s="18"/>
      <c r="L234" s="19">
        <f>SUM(F234:K234)</f>
        <v>953363.21000000008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143348.76999999999</v>
      </c>
      <c r="I235" s="18"/>
      <c r="J235" s="18"/>
      <c r="K235" s="18"/>
      <c r="L235" s="19">
        <f>SUM(F235:K235)</f>
        <v>143348.76999999999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197461.1</v>
      </c>
      <c r="G236" s="18">
        <v>38578.83</v>
      </c>
      <c r="H236" s="18">
        <v>97704.16</v>
      </c>
      <c r="I236" s="18">
        <v>15821.87</v>
      </c>
      <c r="J236" s="18">
        <v>10931.73</v>
      </c>
      <c r="K236" s="18">
        <v>14515</v>
      </c>
      <c r="L236" s="19">
        <f>SUM(F236:K236)</f>
        <v>375012.68999999994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313840.8</v>
      </c>
      <c r="G238" s="18">
        <v>183721.25</v>
      </c>
      <c r="H238" s="18">
        <v>42477.94</v>
      </c>
      <c r="I238" s="18">
        <v>6259.82</v>
      </c>
      <c r="J238" s="18">
        <v>187.6</v>
      </c>
      <c r="K238" s="18">
        <v>221.4</v>
      </c>
      <c r="L238" s="19">
        <f t="shared" ref="L238:L244" si="4">SUM(F238:K238)</f>
        <v>546708.80999999994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205040.21</v>
      </c>
      <c r="G239" s="18">
        <v>115301.25</v>
      </c>
      <c r="H239" s="18">
        <v>95227.05</v>
      </c>
      <c r="I239" s="18">
        <v>56897.05</v>
      </c>
      <c r="J239" s="18">
        <v>101978.95</v>
      </c>
      <c r="K239" s="18">
        <v>819.65</v>
      </c>
      <c r="L239" s="19">
        <f t="shared" si="4"/>
        <v>575264.15999999992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4315.8100000000004</v>
      </c>
      <c r="G240" s="18">
        <v>342.09</v>
      </c>
      <c r="H240" s="18">
        <v>311314.77</v>
      </c>
      <c r="I240" s="18">
        <v>1631.06</v>
      </c>
      <c r="J240" s="18"/>
      <c r="K240" s="18">
        <v>3508.1</v>
      </c>
      <c r="L240" s="19">
        <f t="shared" si="4"/>
        <v>321111.83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292329.03000000003</v>
      </c>
      <c r="G241" s="18">
        <v>141573.69</v>
      </c>
      <c r="H241" s="18">
        <v>55664.65</v>
      </c>
      <c r="I241" s="18">
        <v>6389.29</v>
      </c>
      <c r="J241" s="18">
        <v>331.61</v>
      </c>
      <c r="K241" s="18">
        <v>9704</v>
      </c>
      <c r="L241" s="19">
        <f t="shared" si="4"/>
        <v>505992.27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5000.63</v>
      </c>
      <c r="G242" s="18">
        <v>396.37</v>
      </c>
      <c r="H242" s="18"/>
      <c r="I242" s="18">
        <v>100.8</v>
      </c>
      <c r="J242" s="18">
        <v>2427.6</v>
      </c>
      <c r="K242" s="18"/>
      <c r="L242" s="19">
        <f t="shared" si="4"/>
        <v>7925.4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235258.17</v>
      </c>
      <c r="G243" s="18">
        <v>161527.66</v>
      </c>
      <c r="H243" s="18">
        <v>362183.87</v>
      </c>
      <c r="I243" s="18">
        <v>171219.83</v>
      </c>
      <c r="J243" s="18">
        <v>98925.09</v>
      </c>
      <c r="K243" s="18">
        <v>46.9</v>
      </c>
      <c r="L243" s="19">
        <f t="shared" si="4"/>
        <v>1029161.5199999999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566855.68999999994</v>
      </c>
      <c r="I244" s="18"/>
      <c r="J244" s="18"/>
      <c r="K244" s="18"/>
      <c r="L244" s="19">
        <f t="shared" si="4"/>
        <v>566855.68999999994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>
        <v>344306.05300000001</v>
      </c>
      <c r="H245" s="18"/>
      <c r="I245" s="18"/>
      <c r="J245" s="18"/>
      <c r="K245" s="18"/>
      <c r="L245" s="19">
        <f>SUM(F245:K245)</f>
        <v>344306.05300000001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3703063.7699999996</v>
      </c>
      <c r="G247" s="41">
        <f t="shared" si="5"/>
        <v>2083423.1330000001</v>
      </c>
      <c r="H247" s="41">
        <f t="shared" si="5"/>
        <v>1798288.7999999998</v>
      </c>
      <c r="I247" s="41">
        <f t="shared" si="5"/>
        <v>328493.77999999997</v>
      </c>
      <c r="J247" s="41">
        <f t="shared" si="5"/>
        <v>239285.65</v>
      </c>
      <c r="K247" s="41">
        <f t="shared" si="5"/>
        <v>28815.05</v>
      </c>
      <c r="L247" s="41">
        <f t="shared" si="5"/>
        <v>8181370.1829999993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11588564.809999999</v>
      </c>
      <c r="G257" s="41">
        <f t="shared" si="8"/>
        <v>6607520.7030000007</v>
      </c>
      <c r="H257" s="41">
        <f t="shared" si="8"/>
        <v>4129846.99</v>
      </c>
      <c r="I257" s="41">
        <f t="shared" si="8"/>
        <v>836741.09999999986</v>
      </c>
      <c r="J257" s="41">
        <f t="shared" si="8"/>
        <v>588430.5</v>
      </c>
      <c r="K257" s="41">
        <f t="shared" si="8"/>
        <v>39776.129999999997</v>
      </c>
      <c r="L257" s="41">
        <f t="shared" si="8"/>
        <v>23790880.232999995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5176.68</v>
      </c>
      <c r="L265" s="19">
        <f t="shared" si="9"/>
        <v>5176.68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105176.68</v>
      </c>
      <c r="L270" s="41">
        <f t="shared" si="9"/>
        <v>105176.68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11588564.809999999</v>
      </c>
      <c r="G271" s="42">
        <f t="shared" si="11"/>
        <v>6607520.7030000007</v>
      </c>
      <c r="H271" s="42">
        <f t="shared" si="11"/>
        <v>4129846.99</v>
      </c>
      <c r="I271" s="42">
        <f t="shared" si="11"/>
        <v>836741.09999999986</v>
      </c>
      <c r="J271" s="42">
        <f t="shared" si="11"/>
        <v>588430.5</v>
      </c>
      <c r="K271" s="42">
        <f t="shared" si="11"/>
        <v>144952.81</v>
      </c>
      <c r="L271" s="42">
        <f t="shared" si="11"/>
        <v>23896056.912999995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160416.89000000001</v>
      </c>
      <c r="G276" s="18">
        <v>64526.38</v>
      </c>
      <c r="H276" s="18">
        <v>10758</v>
      </c>
      <c r="I276" s="18">
        <v>10297.780000000001</v>
      </c>
      <c r="J276" s="18">
        <v>1909</v>
      </c>
      <c r="K276" s="18"/>
      <c r="L276" s="19">
        <f>SUM(F276:K276)</f>
        <v>247908.05000000002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50799.72</v>
      </c>
      <c r="G282" s="18">
        <v>12172.01</v>
      </c>
      <c r="H282" s="18">
        <v>45838.43</v>
      </c>
      <c r="I282" s="18">
        <v>2120.4699999999998</v>
      </c>
      <c r="J282" s="18">
        <v>3711.32</v>
      </c>
      <c r="K282" s="18"/>
      <c r="L282" s="19">
        <f t="shared" si="12"/>
        <v>114641.95000000001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20821.349999999999</v>
      </c>
      <c r="L283" s="19">
        <f t="shared" si="12"/>
        <v>20821.349999999999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1968.66</v>
      </c>
      <c r="I287" s="18"/>
      <c r="J287" s="18"/>
      <c r="K287" s="18"/>
      <c r="L287" s="19">
        <f t="shared" si="12"/>
        <v>1968.66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211216.61000000002</v>
      </c>
      <c r="G290" s="42">
        <f t="shared" si="13"/>
        <v>76698.39</v>
      </c>
      <c r="H290" s="42">
        <f t="shared" si="13"/>
        <v>58565.090000000004</v>
      </c>
      <c r="I290" s="42">
        <f t="shared" si="13"/>
        <v>12418.25</v>
      </c>
      <c r="J290" s="42">
        <f t="shared" si="13"/>
        <v>5620.32</v>
      </c>
      <c r="K290" s="42">
        <f t="shared" si="13"/>
        <v>20821.349999999999</v>
      </c>
      <c r="L290" s="41">
        <f t="shared" si="13"/>
        <v>385340.00999999995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>
        <v>999.9</v>
      </c>
      <c r="J314" s="18"/>
      <c r="K314" s="18"/>
      <c r="L314" s="19">
        <f>SUM(F314:K314)</f>
        <v>999.9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25681.88</v>
      </c>
      <c r="G320" s="18">
        <v>6149.23</v>
      </c>
      <c r="H320" s="18">
        <v>24152.9</v>
      </c>
      <c r="I320" s="18">
        <v>88.38</v>
      </c>
      <c r="J320" s="18">
        <v>1998.4</v>
      </c>
      <c r="K320" s="18"/>
      <c r="L320" s="19">
        <f t="shared" si="16"/>
        <v>58070.79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>
        <v>2992.13</v>
      </c>
      <c r="L321" s="19">
        <f t="shared" si="16"/>
        <v>2992.13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25681.88</v>
      </c>
      <c r="G328" s="42">
        <f t="shared" si="17"/>
        <v>6149.23</v>
      </c>
      <c r="H328" s="42">
        <f t="shared" si="17"/>
        <v>24152.9</v>
      </c>
      <c r="I328" s="42">
        <f t="shared" si="17"/>
        <v>1088.28</v>
      </c>
      <c r="J328" s="42">
        <f t="shared" si="17"/>
        <v>1998.4</v>
      </c>
      <c r="K328" s="42">
        <f t="shared" si="17"/>
        <v>2992.13</v>
      </c>
      <c r="L328" s="41">
        <f t="shared" si="17"/>
        <v>62062.82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236898.49000000002</v>
      </c>
      <c r="G338" s="41">
        <f t="shared" si="20"/>
        <v>82847.62</v>
      </c>
      <c r="H338" s="41">
        <f t="shared" si="20"/>
        <v>82717.990000000005</v>
      </c>
      <c r="I338" s="41">
        <f t="shared" si="20"/>
        <v>13506.53</v>
      </c>
      <c r="J338" s="41">
        <f t="shared" si="20"/>
        <v>7618.7199999999993</v>
      </c>
      <c r="K338" s="41">
        <f t="shared" si="20"/>
        <v>23813.48</v>
      </c>
      <c r="L338" s="41">
        <f t="shared" si="20"/>
        <v>447402.82999999996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236898.49000000002</v>
      </c>
      <c r="G352" s="41">
        <f>G338</f>
        <v>82847.62</v>
      </c>
      <c r="H352" s="41">
        <f>H338</f>
        <v>82717.990000000005</v>
      </c>
      <c r="I352" s="41">
        <f>I338</f>
        <v>13506.53</v>
      </c>
      <c r="J352" s="41">
        <f>J338</f>
        <v>7618.7199999999993</v>
      </c>
      <c r="K352" s="47">
        <f>K338+K351</f>
        <v>23813.48</v>
      </c>
      <c r="L352" s="41">
        <f>L338+L351</f>
        <v>447402.82999999996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269820.2</v>
      </c>
      <c r="I358" s="18">
        <v>204.75</v>
      </c>
      <c r="J358" s="18">
        <v>5365.75</v>
      </c>
      <c r="K358" s="18">
        <v>1285</v>
      </c>
      <c r="L358" s="13">
        <f>SUM(F358:K358)</f>
        <v>276675.7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145287.79999999999</v>
      </c>
      <c r="I360" s="18">
        <v>110.25</v>
      </c>
      <c r="J360" s="18">
        <v>2889.25</v>
      </c>
      <c r="K360" s="18">
        <v>691.92</v>
      </c>
      <c r="L360" s="19">
        <f>SUM(F360:K360)</f>
        <v>148979.22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415108</v>
      </c>
      <c r="I362" s="47">
        <f t="shared" si="22"/>
        <v>315</v>
      </c>
      <c r="J362" s="47">
        <f t="shared" si="22"/>
        <v>8255</v>
      </c>
      <c r="K362" s="47">
        <f t="shared" si="22"/>
        <v>1976.92</v>
      </c>
      <c r="L362" s="47">
        <f t="shared" si="22"/>
        <v>425654.92000000004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204.75</v>
      </c>
      <c r="G368" s="63"/>
      <c r="H368" s="63">
        <v>110.25</v>
      </c>
      <c r="I368" s="56">
        <f>SUM(F368:H368)</f>
        <v>315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204.75</v>
      </c>
      <c r="G369" s="47">
        <f>SUM(G367:G368)</f>
        <v>0</v>
      </c>
      <c r="H369" s="47">
        <f>SUM(H367:H368)</f>
        <v>110.25</v>
      </c>
      <c r="I369" s="47">
        <f>SUM(I367:I368)</f>
        <v>315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v>946.32</v>
      </c>
      <c r="I395" s="18"/>
      <c r="J395" s="24" t="s">
        <v>286</v>
      </c>
      <c r="K395" s="24" t="s">
        <v>286</v>
      </c>
      <c r="L395" s="56">
        <f t="shared" ref="L395:L400" si="26">SUM(F395:K395)</f>
        <v>946.32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100000</v>
      </c>
      <c r="H396" s="18">
        <v>4014.47</v>
      </c>
      <c r="I396" s="18"/>
      <c r="J396" s="24" t="s">
        <v>286</v>
      </c>
      <c r="K396" s="24" t="s">
        <v>286</v>
      </c>
      <c r="L396" s="56">
        <f t="shared" si="26"/>
        <v>104014.47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2404.7399999999998</v>
      </c>
      <c r="I397" s="18"/>
      <c r="J397" s="24" t="s">
        <v>286</v>
      </c>
      <c r="K397" s="24" t="s">
        <v>286</v>
      </c>
      <c r="L397" s="56">
        <f t="shared" si="26"/>
        <v>2404.7399999999998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7365.53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107365.53000000001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7365.53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107365.53000000001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>
        <v>595196.51</v>
      </c>
      <c r="I439" s="56">
        <f t="shared" ref="I439:I445" si="33">SUM(F439:H439)</f>
        <v>595196.51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595196.51</v>
      </c>
      <c r="I446" s="13">
        <f>SUM(I439:I445)</f>
        <v>595196.51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>
        <v>595196.51</v>
      </c>
      <c r="I459" s="56">
        <f t="shared" si="34"/>
        <v>595196.51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595196.51</v>
      </c>
      <c r="I460" s="83">
        <f>SUM(I454:I459)</f>
        <v>595196.51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595196.51</v>
      </c>
      <c r="I461" s="42">
        <f>I452+I460</f>
        <v>595196.51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941877.27</v>
      </c>
      <c r="G465" s="18">
        <v>31909.53</v>
      </c>
      <c r="H465" s="18">
        <v>63257.5</v>
      </c>
      <c r="I465" s="18">
        <v>-1945.57</v>
      </c>
      <c r="J465" s="18">
        <v>487830.98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23835122.43</v>
      </c>
      <c r="G468" s="18">
        <v>432371</v>
      </c>
      <c r="H468" s="18">
        <v>447728.98</v>
      </c>
      <c r="I468" s="18">
        <v>5176.68</v>
      </c>
      <c r="J468" s="18">
        <v>107365.53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23835122.43</v>
      </c>
      <c r="G470" s="53">
        <f>SUM(G468:G469)</f>
        <v>432371</v>
      </c>
      <c r="H470" s="53">
        <f>SUM(H468:H469)</f>
        <v>447728.98</v>
      </c>
      <c r="I470" s="53">
        <f>SUM(I468:I469)</f>
        <v>5176.68</v>
      </c>
      <c r="J470" s="53">
        <f>SUM(J468:J469)</f>
        <v>107365.53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23890880.23+5176.68</f>
        <v>23896056.91</v>
      </c>
      <c r="G472" s="18">
        <v>425654.92</v>
      </c>
      <c r="H472" s="18">
        <v>447402.83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23896056.91</v>
      </c>
      <c r="G474" s="53">
        <f>SUM(G472:G473)</f>
        <v>425654.92</v>
      </c>
      <c r="H474" s="53">
        <f>SUM(H472:H473)</f>
        <v>447402.83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880942.78999999911</v>
      </c>
      <c r="G476" s="53">
        <f>(G465+G470)- G474</f>
        <v>38625.610000000044</v>
      </c>
      <c r="H476" s="53">
        <f>(H465+H470)- H474</f>
        <v>63583.649999999965</v>
      </c>
      <c r="I476" s="53">
        <f>(I465+I470)- I474</f>
        <v>3231.1100000000006</v>
      </c>
      <c r="J476" s="53">
        <f>(J465+J470)- J474</f>
        <v>595196.51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1745505.29</v>
      </c>
      <c r="G521" s="18">
        <v>776950.22</v>
      </c>
      <c r="H521" s="18">
        <v>78901.039999999994</v>
      </c>
      <c r="I521" s="18">
        <v>12105.21</v>
      </c>
      <c r="J521" s="18">
        <v>22.69</v>
      </c>
      <c r="K521" s="18"/>
      <c r="L521" s="88">
        <f>SUM(F521:K521)</f>
        <v>2613484.4499999997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597817.46</v>
      </c>
      <c r="G523" s="18">
        <v>237095.72</v>
      </c>
      <c r="H523" s="18">
        <v>115693.41</v>
      </c>
      <c r="I523" s="18">
        <v>2301.62</v>
      </c>
      <c r="J523" s="18">
        <v>142.16999999999999</v>
      </c>
      <c r="K523" s="18"/>
      <c r="L523" s="88">
        <f>SUM(F523:K523)</f>
        <v>953050.38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2343322.75</v>
      </c>
      <c r="G524" s="108">
        <f t="shared" ref="G524:L524" si="36">SUM(G521:G523)</f>
        <v>1014045.94</v>
      </c>
      <c r="H524" s="108">
        <f t="shared" si="36"/>
        <v>194594.45</v>
      </c>
      <c r="I524" s="108">
        <f t="shared" si="36"/>
        <v>14406.829999999998</v>
      </c>
      <c r="J524" s="108">
        <f t="shared" si="36"/>
        <v>164.85999999999999</v>
      </c>
      <c r="K524" s="108">
        <f t="shared" si="36"/>
        <v>0</v>
      </c>
      <c r="L524" s="89">
        <f t="shared" si="36"/>
        <v>3566534.8299999996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387473.06</v>
      </c>
      <c r="G526" s="18">
        <v>203077.5</v>
      </c>
      <c r="H526" s="18">
        <v>98809.38</v>
      </c>
      <c r="I526" s="18">
        <v>4832.46</v>
      </c>
      <c r="J526" s="18">
        <v>921.71</v>
      </c>
      <c r="K526" s="18">
        <v>113.04</v>
      </c>
      <c r="L526" s="88">
        <f>SUM(F526:K526)</f>
        <v>695227.15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197209.28</v>
      </c>
      <c r="G528" s="18">
        <v>113326.96</v>
      </c>
      <c r="H528" s="18">
        <v>33037.31</v>
      </c>
      <c r="I528" s="18">
        <v>3313.97</v>
      </c>
      <c r="J528" s="18">
        <v>187.6</v>
      </c>
      <c r="K528" s="18">
        <v>88.56</v>
      </c>
      <c r="L528" s="88">
        <f>SUM(F528:K528)</f>
        <v>347163.67999999993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584682.34</v>
      </c>
      <c r="G529" s="89">
        <f t="shared" ref="G529:L529" si="37">SUM(G526:G528)</f>
        <v>316404.46000000002</v>
      </c>
      <c r="H529" s="89">
        <f t="shared" si="37"/>
        <v>131846.69</v>
      </c>
      <c r="I529" s="89">
        <f t="shared" si="37"/>
        <v>8146.43</v>
      </c>
      <c r="J529" s="89">
        <f t="shared" si="37"/>
        <v>1109.31</v>
      </c>
      <c r="K529" s="89">
        <f t="shared" si="37"/>
        <v>201.60000000000002</v>
      </c>
      <c r="L529" s="89">
        <f t="shared" si="37"/>
        <v>1042390.83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77768.53</v>
      </c>
      <c r="I531" s="18"/>
      <c r="J531" s="18"/>
      <c r="K531" s="18"/>
      <c r="L531" s="88">
        <f>SUM(F531:K531)</f>
        <v>77768.53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41875.360000000001</v>
      </c>
      <c r="I533" s="18"/>
      <c r="J533" s="18"/>
      <c r="K533" s="18"/>
      <c r="L533" s="88">
        <f>SUM(F533:K533)</f>
        <v>41875.360000000001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119643.89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119643.89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531.70000000000005</v>
      </c>
      <c r="I536" s="18"/>
      <c r="J536" s="18"/>
      <c r="K536" s="18"/>
      <c r="L536" s="88">
        <f>SUM(F536:K536)</f>
        <v>531.70000000000005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286.3</v>
      </c>
      <c r="I538" s="18"/>
      <c r="J538" s="18"/>
      <c r="K538" s="18"/>
      <c r="L538" s="88">
        <f>SUM(F538:K538)</f>
        <v>286.3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818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818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118341.11</v>
      </c>
      <c r="I541" s="18"/>
      <c r="J541" s="18"/>
      <c r="K541" s="18"/>
      <c r="L541" s="88">
        <f>SUM(F541:K541)</f>
        <v>118341.11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155226.81</v>
      </c>
      <c r="I543" s="18"/>
      <c r="J543" s="18"/>
      <c r="K543" s="18"/>
      <c r="L543" s="88">
        <f>SUM(F543:K543)</f>
        <v>155226.81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273567.92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273567.92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2928005.09</v>
      </c>
      <c r="G545" s="89">
        <f t="shared" ref="G545:L545" si="41">G524+G529+G534+G539+G544</f>
        <v>1330450.3999999999</v>
      </c>
      <c r="H545" s="89">
        <f t="shared" si="41"/>
        <v>720470.95</v>
      </c>
      <c r="I545" s="89">
        <f t="shared" si="41"/>
        <v>22553.26</v>
      </c>
      <c r="J545" s="89">
        <f t="shared" si="41"/>
        <v>1274.1699999999998</v>
      </c>
      <c r="K545" s="89">
        <f t="shared" si="41"/>
        <v>201.60000000000002</v>
      </c>
      <c r="L545" s="89">
        <f t="shared" si="41"/>
        <v>5002955.4699999988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2613484.4499999997</v>
      </c>
      <c r="G549" s="87">
        <f>L526</f>
        <v>695227.15</v>
      </c>
      <c r="H549" s="87">
        <f>L531</f>
        <v>77768.53</v>
      </c>
      <c r="I549" s="87">
        <f>L536</f>
        <v>531.70000000000005</v>
      </c>
      <c r="J549" s="87">
        <f>L541</f>
        <v>118341.11</v>
      </c>
      <c r="K549" s="87">
        <f>SUM(F549:J549)</f>
        <v>3505352.9399999995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953050.38</v>
      </c>
      <c r="G551" s="87">
        <f>L528</f>
        <v>347163.67999999993</v>
      </c>
      <c r="H551" s="87">
        <f>L533</f>
        <v>41875.360000000001</v>
      </c>
      <c r="I551" s="87">
        <f>L538</f>
        <v>286.3</v>
      </c>
      <c r="J551" s="87">
        <f>L543</f>
        <v>155226.81</v>
      </c>
      <c r="K551" s="87">
        <f>SUM(F551:J551)</f>
        <v>1497602.5300000003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3566534.8299999996</v>
      </c>
      <c r="G552" s="89">
        <f t="shared" si="42"/>
        <v>1042390.83</v>
      </c>
      <c r="H552" s="89">
        <f t="shared" si="42"/>
        <v>119643.89</v>
      </c>
      <c r="I552" s="89">
        <f t="shared" si="42"/>
        <v>818</v>
      </c>
      <c r="J552" s="89">
        <f t="shared" si="42"/>
        <v>273567.92</v>
      </c>
      <c r="K552" s="89">
        <f t="shared" si="42"/>
        <v>5002955.47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26654.65</v>
      </c>
      <c r="G562" s="18">
        <v>9374.2199999999993</v>
      </c>
      <c r="H562" s="18"/>
      <c r="I562" s="18">
        <v>791.93</v>
      </c>
      <c r="J562" s="18"/>
      <c r="K562" s="18"/>
      <c r="L562" s="88">
        <f>SUM(F562:K562)</f>
        <v>36820.800000000003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14352.51</v>
      </c>
      <c r="G564" s="18">
        <v>5047.6499999999996</v>
      </c>
      <c r="H564" s="18"/>
      <c r="I564" s="18">
        <v>426.42</v>
      </c>
      <c r="J564" s="18"/>
      <c r="K564" s="18"/>
      <c r="L564" s="88">
        <f>SUM(F564:K564)</f>
        <v>19826.579999999998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41007.160000000003</v>
      </c>
      <c r="G565" s="89">
        <f t="shared" si="44"/>
        <v>14421.869999999999</v>
      </c>
      <c r="H565" s="89">
        <f t="shared" si="44"/>
        <v>0</v>
      </c>
      <c r="I565" s="89">
        <f t="shared" si="44"/>
        <v>1218.3499999999999</v>
      </c>
      <c r="J565" s="89">
        <f t="shared" si="44"/>
        <v>0</v>
      </c>
      <c r="K565" s="89">
        <f t="shared" si="44"/>
        <v>0</v>
      </c>
      <c r="L565" s="89">
        <f t="shared" si="44"/>
        <v>56647.380000000005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41007.160000000003</v>
      </c>
      <c r="G571" s="89">
        <f t="shared" ref="G571:L571" si="46">G560+G565+G570</f>
        <v>14421.869999999999</v>
      </c>
      <c r="H571" s="89">
        <f t="shared" si="46"/>
        <v>0</v>
      </c>
      <c r="I571" s="89">
        <f t="shared" si="46"/>
        <v>1218.3499999999999</v>
      </c>
      <c r="J571" s="89">
        <f t="shared" si="46"/>
        <v>0</v>
      </c>
      <c r="K571" s="89">
        <f t="shared" si="46"/>
        <v>0</v>
      </c>
      <c r="L571" s="89">
        <f t="shared" si="46"/>
        <v>56647.380000000005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11984</v>
      </c>
      <c r="G579" s="18"/>
      <c r="H579" s="18">
        <v>32244.98</v>
      </c>
      <c r="I579" s="87">
        <f t="shared" si="47"/>
        <v>44228.979999999996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>
        <v>44642.879999999997</v>
      </c>
      <c r="I582" s="87">
        <f t="shared" si="47"/>
        <v>44642.879999999997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146185.1</v>
      </c>
      <c r="I584" s="87">
        <f t="shared" si="47"/>
        <v>146185.1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515287.08</v>
      </c>
      <c r="I591" s="18"/>
      <c r="J591" s="18">
        <v>277462.28000000003</v>
      </c>
      <c r="K591" s="104">
        <f t="shared" ref="K591:K597" si="48">SUM(H591:J591)</f>
        <v>792749.3600000001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118341.11</v>
      </c>
      <c r="I592" s="18"/>
      <c r="J592" s="18">
        <v>155226.81</v>
      </c>
      <c r="K592" s="104">
        <f t="shared" si="48"/>
        <v>273567.92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57940.51</v>
      </c>
      <c r="K593" s="104">
        <f t="shared" si="48"/>
        <v>57940.51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60849.84</v>
      </c>
      <c r="K594" s="104">
        <f t="shared" si="48"/>
        <v>60849.84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29868.21</v>
      </c>
      <c r="I595" s="18"/>
      <c r="J595" s="18">
        <v>6495.3</v>
      </c>
      <c r="K595" s="104">
        <f t="shared" si="48"/>
        <v>36363.51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24261.759999999998</v>
      </c>
      <c r="I597" s="18"/>
      <c r="J597" s="18">
        <v>8880.9500000000007</v>
      </c>
      <c r="K597" s="104">
        <f t="shared" si="48"/>
        <v>33142.71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687758.16</v>
      </c>
      <c r="I598" s="108">
        <f>SUM(I591:I597)</f>
        <v>0</v>
      </c>
      <c r="J598" s="108">
        <f>SUM(J591:J597)</f>
        <v>566855.69000000006</v>
      </c>
      <c r="K598" s="108">
        <f>SUM(K591:K597)</f>
        <v>1254613.8500000001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354765.17</v>
      </c>
      <c r="I604" s="18"/>
      <c r="J604" s="18">
        <v>241284.05</v>
      </c>
      <c r="K604" s="104">
        <f>SUM(H604:J604)</f>
        <v>596049.22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354765.17</v>
      </c>
      <c r="I605" s="108">
        <f>SUM(I602:I604)</f>
        <v>0</v>
      </c>
      <c r="J605" s="108">
        <f>SUM(J602:J604)</f>
        <v>241284.05</v>
      </c>
      <c r="K605" s="108">
        <f>SUM(K602:K604)</f>
        <v>596049.22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23080</v>
      </c>
      <c r="G611" s="18">
        <v>5091.5</v>
      </c>
      <c r="H611" s="18"/>
      <c r="I611" s="18">
        <v>269.23</v>
      </c>
      <c r="J611" s="18"/>
      <c r="K611" s="18"/>
      <c r="L611" s="88">
        <f>SUM(F611:K611)</f>
        <v>28440.73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23080</v>
      </c>
      <c r="G614" s="108">
        <f t="shared" si="49"/>
        <v>5091.5</v>
      </c>
      <c r="H614" s="108">
        <f t="shared" si="49"/>
        <v>0</v>
      </c>
      <c r="I614" s="108">
        <f t="shared" si="49"/>
        <v>269.23</v>
      </c>
      <c r="J614" s="108">
        <f t="shared" si="49"/>
        <v>0</v>
      </c>
      <c r="K614" s="108">
        <f t="shared" si="49"/>
        <v>0</v>
      </c>
      <c r="L614" s="89">
        <f t="shared" si="49"/>
        <v>28440.73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2253346.58</v>
      </c>
      <c r="H617" s="109">
        <f>SUM(F52)</f>
        <v>2253346.58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500305.16000000003</v>
      </c>
      <c r="H618" s="109">
        <f>SUM(G52)</f>
        <v>500305.16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556614.72</v>
      </c>
      <c r="H619" s="109">
        <f>SUM(H52)</f>
        <v>556614.72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3231.11</v>
      </c>
      <c r="H620" s="109">
        <f>SUM(I52)</f>
        <v>3231.11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595196.51</v>
      </c>
      <c r="H621" s="109">
        <f>SUM(J52)</f>
        <v>595196.51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880942.79</v>
      </c>
      <c r="H622" s="109">
        <f>F476</f>
        <v>880942.78999999911</v>
      </c>
      <c r="I622" s="121" t="s">
        <v>101</v>
      </c>
      <c r="J622" s="109">
        <f t="shared" ref="J622:J655" si="50">G622-H622</f>
        <v>9.3132257461547852E-10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38625.61</v>
      </c>
      <c r="H623" s="109">
        <f>G476</f>
        <v>38625.610000000044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63583.65</v>
      </c>
      <c r="H624" s="109">
        <f>H476</f>
        <v>63583.649999999965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3231.11</v>
      </c>
      <c r="H625" s="109">
        <f>I476</f>
        <v>3231.1100000000006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595196.51</v>
      </c>
      <c r="H626" s="109">
        <f>J476</f>
        <v>595196.51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23835122.43</v>
      </c>
      <c r="H627" s="104">
        <f>SUM(F468)</f>
        <v>23835122.43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432371</v>
      </c>
      <c r="H628" s="104">
        <f>SUM(G468)</f>
        <v>432371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447728.98000000004</v>
      </c>
      <c r="H629" s="104">
        <f>SUM(H468)</f>
        <v>447728.98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5176.68</v>
      </c>
      <c r="H630" s="104">
        <f>SUM(I468)</f>
        <v>5176.68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107365.53</v>
      </c>
      <c r="H631" s="104">
        <f>SUM(J468)</f>
        <v>107365.53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23896056.912999995</v>
      </c>
      <c r="H632" s="104">
        <f>SUM(F472)</f>
        <v>23896056.91</v>
      </c>
      <c r="I632" s="140" t="s">
        <v>111</v>
      </c>
      <c r="J632" s="109">
        <f t="shared" si="50"/>
        <v>2.9999949038028717E-3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447402.82999999996</v>
      </c>
      <c r="H633" s="104">
        <f>SUM(H472)</f>
        <v>447402.83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315</v>
      </c>
      <c r="H634" s="104">
        <f>I369</f>
        <v>315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425654.92000000004</v>
      </c>
      <c r="H635" s="104">
        <f>SUM(G472)</f>
        <v>425654.92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107365.53000000001</v>
      </c>
      <c r="H637" s="164">
        <f>SUM(J468)</f>
        <v>107365.53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595196.51</v>
      </c>
      <c r="H641" s="104">
        <f>SUM(H461)</f>
        <v>595196.51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595196.51</v>
      </c>
      <c r="H642" s="104">
        <f>SUM(I461)</f>
        <v>595196.51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7365.53</v>
      </c>
      <c r="H644" s="104">
        <f>H408</f>
        <v>7365.53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100000</v>
      </c>
      <c r="H645" s="104">
        <f>G408</f>
        <v>100000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107365.53</v>
      </c>
      <c r="H646" s="104">
        <f>L408</f>
        <v>107365.53000000001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1254613.8500000001</v>
      </c>
      <c r="H647" s="104">
        <f>L208+L226+L244</f>
        <v>1254613.8500000001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596049.22</v>
      </c>
      <c r="H648" s="104">
        <f>(J257+J338)-(J255+J336)</f>
        <v>596049.22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687758.16</v>
      </c>
      <c r="H649" s="104">
        <f>H598</f>
        <v>687758.16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566855.68999999994</v>
      </c>
      <c r="H651" s="104">
        <f>J598</f>
        <v>566855.69000000006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5176.68</v>
      </c>
      <c r="H654" s="104">
        <f>K265+K346</f>
        <v>5176.68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100000</v>
      </c>
      <c r="H655" s="104">
        <f>K266+K347</f>
        <v>100000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2.9999911785125732E-3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16271525.759999996</v>
      </c>
      <c r="G660" s="19">
        <f>(L229+L309+L359)</f>
        <v>0</v>
      </c>
      <c r="H660" s="19">
        <f>(L247+L328+L360)</f>
        <v>8392412.2229999993</v>
      </c>
      <c r="I660" s="19">
        <f>SUM(F660:H660)</f>
        <v>24663937.982999995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161522.3361675932</v>
      </c>
      <c r="G661" s="19">
        <f>(L359/IF(SUM(L358:L360)=0,1,SUM(L358:L360))*(SUM(G97:G110)))</f>
        <v>0</v>
      </c>
      <c r="H661" s="19">
        <f>(L360/IF(SUM(L358:L360)=0,1,SUM(L358:L360))*(SUM(G97:G110)))</f>
        <v>86973.56383240677</v>
      </c>
      <c r="I661" s="19">
        <f>SUM(F661:H661)</f>
        <v>248495.89999999997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689726.82000000007</v>
      </c>
      <c r="G662" s="19">
        <f>(L226+L306)-(J226+J306)</f>
        <v>0</v>
      </c>
      <c r="H662" s="19">
        <f>(L244+L325)-(J244+J325)</f>
        <v>566855.68999999994</v>
      </c>
      <c r="I662" s="19">
        <f>SUM(F662:H662)</f>
        <v>1256582.51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395189.89999999997</v>
      </c>
      <c r="G663" s="199">
        <f>SUM(G575:G587)+SUM(I602:I604)+L612</f>
        <v>0</v>
      </c>
      <c r="H663" s="199">
        <f>SUM(H575:H587)+SUM(J602:J604)+L613</f>
        <v>464357.01</v>
      </c>
      <c r="I663" s="19">
        <f>SUM(F663:H663)</f>
        <v>859546.90999999992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15025086.703832403</v>
      </c>
      <c r="G664" s="19">
        <f>G660-SUM(G661:G663)</f>
        <v>0</v>
      </c>
      <c r="H664" s="19">
        <f>H660-SUM(H661:H663)</f>
        <v>7274225.9591675922</v>
      </c>
      <c r="I664" s="19">
        <f>I660-SUM(I661:I663)</f>
        <v>22299312.662999995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691.4</v>
      </c>
      <c r="G665" s="248"/>
      <c r="H665" s="248">
        <v>323.31</v>
      </c>
      <c r="I665" s="19">
        <f>SUM(F665:H665)</f>
        <v>1014.71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21731.4</v>
      </c>
      <c r="G667" s="19" t="e">
        <f>ROUND(G664/G665,2)</f>
        <v>#DIV/0!</v>
      </c>
      <c r="H667" s="19">
        <f>ROUND(H664/H665,2)</f>
        <v>22499.23</v>
      </c>
      <c r="I667" s="19">
        <f>ROUND(I664/I665,2)</f>
        <v>21976.05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-14.45</v>
      </c>
      <c r="I670" s="19">
        <f>SUM(F670:H670)</f>
        <v>-14.45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21731.4</v>
      </c>
      <c r="G672" s="19" t="e">
        <f>ROUND((G664+G669)/(G665+G670),2)</f>
        <v>#DIV/0!</v>
      </c>
      <c r="H672" s="19">
        <f>ROUND((H664+H669)/(H665+H670),2)</f>
        <v>23551.86</v>
      </c>
      <c r="I672" s="19">
        <f>ROUND((I664+I669)/(I665+I670),2)</f>
        <v>22293.52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1" workbookViewId="0">
      <selection activeCell="A4" sqref="A4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INTERLAKES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6084115.8199999994</v>
      </c>
      <c r="C9" s="229">
        <f>'DOE25'!G197+'DOE25'!G215+'DOE25'!G233+'DOE25'!G276+'DOE25'!G295+'DOE25'!G314</f>
        <v>2856057.38</v>
      </c>
    </row>
    <row r="10" spans="1:3" x14ac:dyDescent="0.2">
      <c r="A10" t="s">
        <v>773</v>
      </c>
      <c r="B10" s="240">
        <v>5766736.7699999996</v>
      </c>
      <c r="C10" s="240">
        <v>2787584.1</v>
      </c>
    </row>
    <row r="11" spans="1:3" x14ac:dyDescent="0.2">
      <c r="A11" t="s">
        <v>774</v>
      </c>
      <c r="B11" s="240">
        <v>162559.95000000001</v>
      </c>
      <c r="C11" s="240">
        <v>63987.55</v>
      </c>
    </row>
    <row r="12" spans="1:3" x14ac:dyDescent="0.2">
      <c r="A12" t="s">
        <v>775</v>
      </c>
      <c r="B12" s="240">
        <v>154819.1</v>
      </c>
      <c r="C12" s="240">
        <v>4485.7299999999996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6084115.8199999994</v>
      </c>
      <c r="C13" s="231">
        <f>SUM(C10:C12)</f>
        <v>2856057.38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2343322.7400000002</v>
      </c>
      <c r="C18" s="229">
        <f>'DOE25'!G198+'DOE25'!G216+'DOE25'!G234+'DOE25'!G277+'DOE25'!G296+'DOE25'!G315</f>
        <v>1014045.9299999999</v>
      </c>
    </row>
    <row r="19" spans="1:3" x14ac:dyDescent="0.2">
      <c r="A19" t="s">
        <v>773</v>
      </c>
      <c r="B19" s="240">
        <v>977617.61</v>
      </c>
      <c r="C19" s="240">
        <v>424939.58</v>
      </c>
    </row>
    <row r="20" spans="1:3" x14ac:dyDescent="0.2">
      <c r="A20" t="s">
        <v>774</v>
      </c>
      <c r="B20" s="240">
        <v>1317092.6000000001</v>
      </c>
      <c r="C20" s="240">
        <v>585349.62</v>
      </c>
    </row>
    <row r="21" spans="1:3" x14ac:dyDescent="0.2">
      <c r="A21" t="s">
        <v>775</v>
      </c>
      <c r="B21" s="240">
        <v>48612.53</v>
      </c>
      <c r="C21" s="240">
        <v>3756.73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2343322.7399999998</v>
      </c>
      <c r="C22" s="231">
        <f>SUM(C19:C21)</f>
        <v>1014045.9299999999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294913.09999999998</v>
      </c>
      <c r="C36" s="235">
        <f>'DOE25'!G200+'DOE25'!G218+'DOE25'!G236+'DOE25'!G279+'DOE25'!G298+'DOE25'!G317</f>
        <v>56816.11</v>
      </c>
    </row>
    <row r="37" spans="1:3" x14ac:dyDescent="0.2">
      <c r="A37" t="s">
        <v>773</v>
      </c>
      <c r="B37" s="240">
        <v>68220.17</v>
      </c>
      <c r="C37" s="240">
        <v>34333.839999999997</v>
      </c>
    </row>
    <row r="38" spans="1:3" x14ac:dyDescent="0.2">
      <c r="A38" t="s">
        <v>774</v>
      </c>
      <c r="B38" s="240">
        <v>3840</v>
      </c>
      <c r="C38" s="240">
        <v>304.89999999999998</v>
      </c>
    </row>
    <row r="39" spans="1:3" x14ac:dyDescent="0.2">
      <c r="A39" t="s">
        <v>775</v>
      </c>
      <c r="B39" s="240">
        <v>222852.93</v>
      </c>
      <c r="C39" s="240">
        <v>22177.37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294913.09999999998</v>
      </c>
      <c r="C40" s="231">
        <f>SUM(C37:C39)</f>
        <v>56816.11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O36" sqref="O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INTERLAKES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13201966.890000001</v>
      </c>
      <c r="D5" s="20">
        <f>SUM('DOE25'!L197:L200)+SUM('DOE25'!L215:L218)+SUM('DOE25'!L233:L236)-F5-G5</f>
        <v>13139669.880000001</v>
      </c>
      <c r="E5" s="243"/>
      <c r="F5" s="255">
        <f>SUM('DOE25'!J197:J200)+SUM('DOE25'!J215:J218)+SUM('DOE25'!J233:J236)</f>
        <v>44518.01</v>
      </c>
      <c r="G5" s="53">
        <f>SUM('DOE25'!K197:K200)+SUM('DOE25'!K215:K218)+SUM('DOE25'!K233:K236)</f>
        <v>17779</v>
      </c>
      <c r="H5" s="259"/>
    </row>
    <row r="6" spans="1:9" x14ac:dyDescent="0.2">
      <c r="A6" s="32">
        <v>2100</v>
      </c>
      <c r="B6" t="s">
        <v>795</v>
      </c>
      <c r="C6" s="245">
        <f t="shared" si="0"/>
        <v>1616894.5099999998</v>
      </c>
      <c r="D6" s="20">
        <f>'DOE25'!L202+'DOE25'!L220+'DOE25'!L238-F6-G6</f>
        <v>1615281.1999999997</v>
      </c>
      <c r="E6" s="243"/>
      <c r="F6" s="255">
        <f>'DOE25'!J202+'DOE25'!J220+'DOE25'!J238</f>
        <v>1109.31</v>
      </c>
      <c r="G6" s="53">
        <f>'DOE25'!K202+'DOE25'!K220+'DOE25'!K238</f>
        <v>504</v>
      </c>
      <c r="H6" s="259"/>
    </row>
    <row r="7" spans="1:9" x14ac:dyDescent="0.2">
      <c r="A7" s="32">
        <v>2200</v>
      </c>
      <c r="B7" t="s">
        <v>828</v>
      </c>
      <c r="C7" s="245">
        <f t="shared" si="0"/>
        <v>1635422.2699999998</v>
      </c>
      <c r="D7" s="20">
        <f>'DOE25'!L203+'DOE25'!L221+'DOE25'!L239-F7-G7</f>
        <v>1356810.6899999997</v>
      </c>
      <c r="E7" s="243"/>
      <c r="F7" s="255">
        <f>'DOE25'!J203+'DOE25'!J221+'DOE25'!J239</f>
        <v>277441.58</v>
      </c>
      <c r="G7" s="53">
        <f>'DOE25'!K203+'DOE25'!K221+'DOE25'!K239</f>
        <v>1170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432416.25000000012</v>
      </c>
      <c r="D8" s="243"/>
      <c r="E8" s="20">
        <f>'DOE25'!L204+'DOE25'!L222+'DOE25'!L240-F8-G8-D9-D11</f>
        <v>422393.12000000011</v>
      </c>
      <c r="F8" s="255">
        <f>'DOE25'!J204+'DOE25'!J222+'DOE25'!J240</f>
        <v>0</v>
      </c>
      <c r="G8" s="53">
        <f>'DOE25'!K204+'DOE25'!K222+'DOE25'!K240</f>
        <v>10023.129999999999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136496.34</v>
      </c>
      <c r="D9" s="244">
        <v>136496.34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18750</v>
      </c>
      <c r="D10" s="243"/>
      <c r="E10" s="244">
        <v>18750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348549.75</v>
      </c>
      <c r="D11" s="244">
        <v>348549.75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1429663.2000000002</v>
      </c>
      <c r="D12" s="20">
        <f>'DOE25'!L205+'DOE25'!L223+'DOE25'!L241-F12-G12</f>
        <v>1419165.59</v>
      </c>
      <c r="E12" s="243"/>
      <c r="F12" s="255">
        <f>'DOE25'!J205+'DOE25'!J223+'DOE25'!J241</f>
        <v>331.61</v>
      </c>
      <c r="G12" s="53">
        <f>'DOE25'!K205+'DOE25'!K223+'DOE25'!K241</f>
        <v>10166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22643.989999999998</v>
      </c>
      <c r="D13" s="243"/>
      <c r="E13" s="20">
        <f>'DOE25'!L206+'DOE25'!L224+'DOE25'!L242-F13-G13</f>
        <v>15707.989999999998</v>
      </c>
      <c r="F13" s="255">
        <f>'DOE25'!J206+'DOE25'!J224+'DOE25'!J242</f>
        <v>6936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2728481.62</v>
      </c>
      <c r="D14" s="20">
        <f>'DOE25'!L207+'DOE25'!L225+'DOE25'!L243-F14-G14</f>
        <v>2470253.63</v>
      </c>
      <c r="E14" s="243"/>
      <c r="F14" s="255">
        <f>'DOE25'!J207+'DOE25'!J225+'DOE25'!J243</f>
        <v>258093.99</v>
      </c>
      <c r="G14" s="53">
        <f>'DOE25'!K207+'DOE25'!K225+'DOE25'!K243</f>
        <v>134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1254613.8500000001</v>
      </c>
      <c r="D15" s="20">
        <f>'DOE25'!L208+'DOE25'!L226+'DOE25'!L244-F15-G15</f>
        <v>1254613.8500000001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983731.56300000008</v>
      </c>
      <c r="D16" s="243"/>
      <c r="E16" s="20">
        <f>'DOE25'!L209+'DOE25'!L227+'DOE25'!L245-F16-G16</f>
        <v>983731.56300000008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425654.92000000004</v>
      </c>
      <c r="D29" s="20">
        <f>'DOE25'!L358+'DOE25'!L359+'DOE25'!L360-'DOE25'!I367-F29-G29</f>
        <v>415423.00000000006</v>
      </c>
      <c r="E29" s="243"/>
      <c r="F29" s="255">
        <f>'DOE25'!J358+'DOE25'!J359+'DOE25'!J360</f>
        <v>8255</v>
      </c>
      <c r="G29" s="53">
        <f>'DOE25'!K358+'DOE25'!K359+'DOE25'!K360</f>
        <v>1976.92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447402.82999999996</v>
      </c>
      <c r="D31" s="20">
        <f>'DOE25'!L290+'DOE25'!L309+'DOE25'!L328+'DOE25'!L333+'DOE25'!L334+'DOE25'!L335-F31-G31</f>
        <v>415970.63</v>
      </c>
      <c r="E31" s="243"/>
      <c r="F31" s="255">
        <f>'DOE25'!J290+'DOE25'!J309+'DOE25'!J328+'DOE25'!J333+'DOE25'!J334+'DOE25'!J335</f>
        <v>7618.7199999999993</v>
      </c>
      <c r="G31" s="53">
        <f>'DOE25'!K290+'DOE25'!K309+'DOE25'!K328+'DOE25'!K333+'DOE25'!K334+'DOE25'!K335</f>
        <v>23813.48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22572234.559999999</v>
      </c>
      <c r="E33" s="246">
        <f>SUM(E5:E31)</f>
        <v>1440582.6730000002</v>
      </c>
      <c r="F33" s="246">
        <f>SUM(F5:F31)</f>
        <v>604304.22</v>
      </c>
      <c r="G33" s="246">
        <f>SUM(G5:G31)</f>
        <v>65566.53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1440582.6730000002</v>
      </c>
      <c r="E35" s="249"/>
    </row>
    <row r="36" spans="2:8" ht="12" thickTop="1" x14ac:dyDescent="0.2">
      <c r="B36" t="s">
        <v>809</v>
      </c>
      <c r="D36" s="20">
        <f>D33</f>
        <v>22572234.559999999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6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INTERLAKES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140722.98000000001</v>
      </c>
      <c r="D8" s="95">
        <f>'DOE25'!G9</f>
        <v>0</v>
      </c>
      <c r="E8" s="95">
        <f>'DOE25'!H9</f>
        <v>0</v>
      </c>
      <c r="F8" s="95">
        <f>'DOE25'!I9</f>
        <v>3231.11</v>
      </c>
      <c r="G8" s="95">
        <f>'DOE25'!J9</f>
        <v>595196.51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1204398.76</v>
      </c>
      <c r="D11" s="95">
        <f>'DOE25'!G12</f>
        <v>458280.08</v>
      </c>
      <c r="E11" s="95">
        <f>'DOE25'!H12</f>
        <v>506008.39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245922.54</v>
      </c>
      <c r="D12" s="95">
        <f>'DOE25'!G13</f>
        <v>15034.75</v>
      </c>
      <c r="E12" s="95">
        <f>'DOE25'!H13</f>
        <v>50606.33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1139.79</v>
      </c>
      <c r="D13" s="95">
        <f>'DOE25'!G14</f>
        <v>26990.33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661162.51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2253346.58</v>
      </c>
      <c r="D18" s="41">
        <f>SUM(D8:D17)</f>
        <v>500305.16000000003</v>
      </c>
      <c r="E18" s="41">
        <f>SUM(E8:E17)</f>
        <v>556614.72</v>
      </c>
      <c r="F18" s="41">
        <f>SUM(F8:F17)</f>
        <v>3231.11</v>
      </c>
      <c r="G18" s="41">
        <f>SUM(G8:G17)</f>
        <v>595196.51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1168626.6100000001</v>
      </c>
      <c r="D21" s="95">
        <f>'DOE25'!G22</f>
        <v>461679.55</v>
      </c>
      <c r="E21" s="95">
        <f>'DOE25'!H22</f>
        <v>489733.83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3033.44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193033.01</v>
      </c>
      <c r="D23" s="95">
        <f>'DOE25'!G24</f>
        <v>0</v>
      </c>
      <c r="E23" s="95">
        <f>'DOE25'!H24</f>
        <v>263.8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10744.17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1372403.79</v>
      </c>
      <c r="D31" s="41">
        <f>SUM(D21:D30)</f>
        <v>461679.55</v>
      </c>
      <c r="E31" s="41">
        <f>SUM(E21:E30)</f>
        <v>493031.07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38625.61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63583.65</v>
      </c>
      <c r="F47" s="95">
        <f>'DOE25'!I48</f>
        <v>3231.11</v>
      </c>
      <c r="G47" s="95">
        <f>'DOE25'!J48</f>
        <v>595196.51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307242.77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448700.02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880942.79</v>
      </c>
      <c r="D50" s="41">
        <f>SUM(D34:D49)</f>
        <v>38625.61</v>
      </c>
      <c r="E50" s="41">
        <f>SUM(E34:E49)</f>
        <v>63583.65</v>
      </c>
      <c r="F50" s="41">
        <f>SUM(F34:F49)</f>
        <v>3231.11</v>
      </c>
      <c r="G50" s="41">
        <f>SUM(G34:G49)</f>
        <v>595196.51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2253346.58</v>
      </c>
      <c r="D51" s="41">
        <f>D50+D31</f>
        <v>500305.16</v>
      </c>
      <c r="E51" s="41">
        <f>E50+E31</f>
        <v>556614.72</v>
      </c>
      <c r="F51" s="41">
        <f>F50+F31</f>
        <v>3231.11</v>
      </c>
      <c r="G51" s="41">
        <f>G50+G31</f>
        <v>595196.51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17460778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49770.64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2071.2399999999998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7365.53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248495.9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41972.61</v>
      </c>
      <c r="D61" s="95">
        <f>SUM('DOE25'!G98:G110)</f>
        <v>0</v>
      </c>
      <c r="E61" s="95">
        <f>SUM('DOE25'!H98:H110)</f>
        <v>49673.83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93814.489999999991</v>
      </c>
      <c r="D62" s="130">
        <f>SUM(D57:D61)</f>
        <v>248495.9</v>
      </c>
      <c r="E62" s="130">
        <f>SUM(E57:E61)</f>
        <v>49673.83</v>
      </c>
      <c r="F62" s="130">
        <f>SUM(F57:F61)</f>
        <v>0</v>
      </c>
      <c r="G62" s="130">
        <f>SUM(G57:G61)</f>
        <v>7365.53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17554592.489999998</v>
      </c>
      <c r="D63" s="22">
        <f>D56+D62</f>
        <v>248495.9</v>
      </c>
      <c r="E63" s="22">
        <f>E56+E62</f>
        <v>49673.83</v>
      </c>
      <c r="F63" s="22">
        <f>F56+F62</f>
        <v>0</v>
      </c>
      <c r="G63" s="22">
        <f>G56+G62</f>
        <v>7365.53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6017521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6017521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84552.66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14797.4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5709.18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99350.06</v>
      </c>
      <c r="D78" s="130">
        <f>SUM(D72:D77)</f>
        <v>5709.18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6116871.0599999996</v>
      </c>
      <c r="D81" s="130">
        <f>SUM(D79:D80)+D78+D70</f>
        <v>5709.18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155641.98000000001</v>
      </c>
      <c r="D88" s="95">
        <f>SUM('DOE25'!G153:G161)</f>
        <v>178165.92</v>
      </c>
      <c r="E88" s="95">
        <f>SUM('DOE25'!H153:H161)</f>
        <v>398055.15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8016.9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163658.88</v>
      </c>
      <c r="D91" s="131">
        <f>SUM(D85:D90)</f>
        <v>178165.92</v>
      </c>
      <c r="E91" s="131">
        <f>SUM(E85:E90)</f>
        <v>398055.15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5176.68</v>
      </c>
      <c r="G96" s="95">
        <f>'DOE25'!J179</f>
        <v>100000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5176.68</v>
      </c>
      <c r="G103" s="86">
        <f>SUM(G93:G102)</f>
        <v>100000</v>
      </c>
    </row>
    <row r="104" spans="1:7" ht="12.75" thickTop="1" thickBot="1" x14ac:dyDescent="0.25">
      <c r="A104" s="33" t="s">
        <v>759</v>
      </c>
      <c r="C104" s="86">
        <f>C63+C81+C91+C103</f>
        <v>23835122.429999996</v>
      </c>
      <c r="D104" s="86">
        <f>D63+D81+D91+D103</f>
        <v>432371</v>
      </c>
      <c r="E104" s="86">
        <f>E63+E81+E91+E103</f>
        <v>447728.98000000004</v>
      </c>
      <c r="F104" s="86">
        <f>F63+F81+F91+F103</f>
        <v>5176.68</v>
      </c>
      <c r="G104" s="86">
        <f>G63+G81+G103</f>
        <v>107365.53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8989383.6999999993</v>
      </c>
      <c r="D109" s="24" t="s">
        <v>286</v>
      </c>
      <c r="E109" s="95">
        <f>('DOE25'!L276)+('DOE25'!L295)+('DOE25'!L314)</f>
        <v>248907.95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3566814.81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143348.76999999999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502419.60999999993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13201966.889999999</v>
      </c>
      <c r="D115" s="86">
        <f>SUM(D109:D114)</f>
        <v>0</v>
      </c>
      <c r="E115" s="86">
        <f>SUM(E109:E114)</f>
        <v>248907.95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1616894.5099999998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1635422.2699999998</v>
      </c>
      <c r="D119" s="24" t="s">
        <v>286</v>
      </c>
      <c r="E119" s="95">
        <f>+('DOE25'!L282)+('DOE25'!L301)+('DOE25'!L320)</f>
        <v>172712.74000000002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917462.34000000008</v>
      </c>
      <c r="D120" s="24" t="s">
        <v>286</v>
      </c>
      <c r="E120" s="95">
        <f>+('DOE25'!L283)+('DOE25'!L302)+('DOE25'!L321)</f>
        <v>23813.48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1429663.2000000002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22643.989999999998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2728481.62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1254613.8500000001</v>
      </c>
      <c r="D124" s="24" t="s">
        <v>286</v>
      </c>
      <c r="E124" s="95">
        <f>+('DOE25'!L287)+('DOE25'!L306)+('DOE25'!L325)</f>
        <v>1968.66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983731.56300000008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425654.92000000004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10588913.342999998</v>
      </c>
      <c r="D128" s="86">
        <f>SUM(D118:D127)</f>
        <v>425654.92000000004</v>
      </c>
      <c r="E128" s="86">
        <f>SUM(E118:E127)</f>
        <v>198494.88000000003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5176.68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107365.53000000001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-7365.5300000000134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105176.68000000001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23896056.912999995</v>
      </c>
      <c r="D145" s="86">
        <f>(D115+D128+D144)</f>
        <v>425654.92000000004</v>
      </c>
      <c r="E145" s="86">
        <f>(E115+E128+E144)</f>
        <v>447402.83000000007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M34" sqref="M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INTERLAKES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21731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23552</v>
      </c>
    </row>
    <row r="7" spans="1:4" x14ac:dyDescent="0.2">
      <c r="B7" t="s">
        <v>699</v>
      </c>
      <c r="C7" s="179">
        <f>IF('DOE25'!I665+'DOE25'!I670=0,0,ROUND('DOE25'!I672,0))</f>
        <v>22294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9238292</v>
      </c>
      <c r="D10" s="182">
        <f>ROUND((C10/$C$28)*100,1)</f>
        <v>37.799999999999997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3566815</v>
      </c>
      <c r="D11" s="182">
        <f>ROUND((C11/$C$28)*100,1)</f>
        <v>14.6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143349</v>
      </c>
      <c r="D12" s="182">
        <f>ROUND((C12/$C$28)*100,1)</f>
        <v>0.6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502420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1616895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1808135</v>
      </c>
      <c r="D16" s="182">
        <f t="shared" si="0"/>
        <v>7.4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1925007</v>
      </c>
      <c r="D17" s="182">
        <f t="shared" si="0"/>
        <v>7.9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1429663</v>
      </c>
      <c r="D18" s="182">
        <f t="shared" si="0"/>
        <v>5.9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22644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2728482</v>
      </c>
      <c r="D20" s="182">
        <f t="shared" si="0"/>
        <v>11.2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1256583</v>
      </c>
      <c r="D21" s="182">
        <f t="shared" si="0"/>
        <v>5.0999999999999996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177159.1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24415444.100000001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24415444.100000001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17460778</v>
      </c>
      <c r="D35" s="182">
        <f t="shared" ref="D35:D40" si="1">ROUND((C35/$C$41)*100,1)</f>
        <v>71.3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150853.85000000149</v>
      </c>
      <c r="D36" s="182">
        <f t="shared" si="1"/>
        <v>0.6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6017521</v>
      </c>
      <c r="D37" s="182">
        <f t="shared" si="1"/>
        <v>24.6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105059</v>
      </c>
      <c r="D38" s="182">
        <f t="shared" si="1"/>
        <v>0.4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739880</v>
      </c>
      <c r="D39" s="182">
        <f t="shared" si="1"/>
        <v>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24474091.850000001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INTERLAKES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2018-09-04T14:23:40Z</cp:lastPrinted>
  <dcterms:created xsi:type="dcterms:W3CDTF">1997-12-04T19:04:30Z</dcterms:created>
  <dcterms:modified xsi:type="dcterms:W3CDTF">2018-12-03T19:05:03Z</dcterms:modified>
</cp:coreProperties>
</file>