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21255" windowHeight="53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8" i="12" l="1"/>
  <c r="B28" i="12"/>
  <c r="B29" i="12"/>
  <c r="I320" i="1" l="1"/>
  <c r="H320" i="1"/>
  <c r="F320" i="1"/>
  <c r="F315" i="1"/>
  <c r="F277" i="1"/>
  <c r="B12" i="12" l="1"/>
  <c r="B10" i="12"/>
  <c r="F368" i="1"/>
  <c r="I203" i="1"/>
  <c r="H203" i="1"/>
  <c r="H215" i="1"/>
  <c r="J277" i="1" l="1"/>
  <c r="H244" i="1"/>
  <c r="H226" i="1"/>
  <c r="H208" i="1"/>
  <c r="I526" i="1" l="1"/>
  <c r="G528" i="1"/>
  <c r="F528" i="1"/>
  <c r="J523" i="1"/>
  <c r="G523" i="1"/>
  <c r="F523" i="1"/>
  <c r="G522" i="1"/>
  <c r="F522" i="1"/>
  <c r="J521" i="1"/>
  <c r="I521" i="1"/>
  <c r="G521" i="1"/>
  <c r="F521" i="1"/>
  <c r="K528" i="1"/>
  <c r="I528" i="1"/>
  <c r="H528" i="1"/>
  <c r="K527" i="1"/>
  <c r="I527" i="1"/>
  <c r="H527" i="1"/>
  <c r="G527" i="1"/>
  <c r="F527" i="1"/>
  <c r="K526" i="1"/>
  <c r="H526" i="1"/>
  <c r="G526" i="1"/>
  <c r="F526" i="1"/>
  <c r="J522" i="1"/>
  <c r="H543" i="1"/>
  <c r="J528" i="1"/>
  <c r="H542" i="1"/>
  <c r="H541" i="1"/>
  <c r="I523" i="1"/>
  <c r="H523" i="1"/>
  <c r="I522" i="1"/>
  <c r="H522" i="1"/>
  <c r="H521" i="1"/>
  <c r="H514" i="1" l="1"/>
  <c r="H513" i="1"/>
  <c r="F502" i="1" l="1"/>
  <c r="G502" i="1"/>
  <c r="G499" i="1"/>
  <c r="F495" i="1"/>
  <c r="G456" i="1"/>
  <c r="G440" i="1"/>
  <c r="F28" i="1"/>
  <c r="F13" i="1"/>
  <c r="H468" i="1" l="1"/>
  <c r="H472" i="1"/>
  <c r="I358" i="1"/>
  <c r="H358" i="1"/>
  <c r="F358" i="1"/>
  <c r="H209" i="1"/>
  <c r="G205" i="1"/>
  <c r="F202" i="1"/>
  <c r="I209" i="1"/>
  <c r="J207" i="1"/>
  <c r="I207" i="1"/>
  <c r="H207" i="1"/>
  <c r="G207" i="1"/>
  <c r="F207" i="1"/>
  <c r="H205" i="1"/>
  <c r="G203" i="1"/>
  <c r="F203" i="1"/>
  <c r="H202" i="1"/>
  <c r="G202" i="1"/>
  <c r="I198" i="1"/>
  <c r="H198" i="1"/>
  <c r="G198" i="1"/>
  <c r="F198" i="1"/>
  <c r="H197" i="1"/>
  <c r="G197" i="1"/>
  <c r="I227" i="1"/>
  <c r="J225" i="1"/>
  <c r="I225" i="1"/>
  <c r="H225" i="1"/>
  <c r="G225" i="1"/>
  <c r="F225" i="1"/>
  <c r="H223" i="1"/>
  <c r="I221" i="1"/>
  <c r="G221" i="1"/>
  <c r="F221" i="1"/>
  <c r="H220" i="1"/>
  <c r="G220" i="1"/>
  <c r="F220" i="1"/>
  <c r="I216" i="1"/>
  <c r="H216" i="1"/>
  <c r="G216" i="1"/>
  <c r="F216" i="1"/>
  <c r="G215" i="1"/>
  <c r="J245" i="1"/>
  <c r="I245" i="1"/>
  <c r="J243" i="1"/>
  <c r="I243" i="1"/>
  <c r="H243" i="1"/>
  <c r="G243" i="1"/>
  <c r="F243" i="1"/>
  <c r="H241" i="1"/>
  <c r="I239" i="1"/>
  <c r="H239" i="1"/>
  <c r="G239" i="1"/>
  <c r="F239" i="1"/>
  <c r="H238" i="1"/>
  <c r="G238" i="1"/>
  <c r="F238" i="1"/>
  <c r="I234" i="1"/>
  <c r="H234" i="1"/>
  <c r="G234" i="1"/>
  <c r="F234" i="1"/>
  <c r="H233" i="1"/>
  <c r="G233" i="1"/>
  <c r="H415" i="1" l="1"/>
  <c r="H429" i="1"/>
  <c r="G132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8" i="1" s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C32" i="10" s="1"/>
  <c r="L342" i="1"/>
  <c r="L255" i="1"/>
  <c r="F22" i="13" s="1"/>
  <c r="C22" i="13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E114" i="2"/>
  <c r="D115" i="2"/>
  <c r="F115" i="2"/>
  <c r="G115" i="2"/>
  <c r="E120" i="2"/>
  <c r="E121" i="2"/>
  <c r="E122" i="2"/>
  <c r="E123" i="2"/>
  <c r="E124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 s="1"/>
  <c r="F408" i="1"/>
  <c r="G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640" i="1" s="1"/>
  <c r="H461" i="1"/>
  <c r="H641" i="1" s="1"/>
  <c r="F470" i="1"/>
  <c r="G470" i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H643" i="1"/>
  <c r="G644" i="1"/>
  <c r="G645" i="1"/>
  <c r="H645" i="1"/>
  <c r="G650" i="1"/>
  <c r="G652" i="1"/>
  <c r="H652" i="1"/>
  <c r="G653" i="1"/>
  <c r="H653" i="1"/>
  <c r="G654" i="1"/>
  <c r="H654" i="1"/>
  <c r="H655" i="1"/>
  <c r="F192" i="1"/>
  <c r="C26" i="10"/>
  <c r="D18" i="13"/>
  <c r="C18" i="13" s="1"/>
  <c r="D17" i="13"/>
  <c r="C17" i="13" s="1"/>
  <c r="C91" i="2"/>
  <c r="F78" i="2"/>
  <c r="F81" i="2" s="1"/>
  <c r="D31" i="2"/>
  <c r="G157" i="2"/>
  <c r="F18" i="2"/>
  <c r="G161" i="2"/>
  <c r="G156" i="2"/>
  <c r="E103" i="2"/>
  <c r="D91" i="2"/>
  <c r="E62" i="2"/>
  <c r="E63" i="2" s="1"/>
  <c r="G62" i="2"/>
  <c r="D19" i="13"/>
  <c r="C19" i="13" s="1"/>
  <c r="E78" i="2"/>
  <c r="E81" i="2" s="1"/>
  <c r="H112" i="1"/>
  <c r="K605" i="1"/>
  <c r="G648" i="1" s="1"/>
  <c r="J571" i="1"/>
  <c r="K571" i="1"/>
  <c r="L433" i="1"/>
  <c r="I169" i="1"/>
  <c r="J643" i="1"/>
  <c r="F476" i="1"/>
  <c r="H622" i="1" s="1"/>
  <c r="I476" i="1"/>
  <c r="H625" i="1" s="1"/>
  <c r="J625" i="1" s="1"/>
  <c r="G476" i="1"/>
  <c r="H623" i="1" s="1"/>
  <c r="F169" i="1"/>
  <c r="J140" i="1"/>
  <c r="G22" i="2"/>
  <c r="J552" i="1"/>
  <c r="H140" i="1"/>
  <c r="L560" i="1"/>
  <c r="H192" i="1"/>
  <c r="L309" i="1"/>
  <c r="J655" i="1"/>
  <c r="J645" i="1"/>
  <c r="G36" i="2"/>
  <c r="L565" i="1"/>
  <c r="A13" i="12" l="1"/>
  <c r="A31" i="12"/>
  <c r="A40" i="12"/>
  <c r="L614" i="1"/>
  <c r="J651" i="1"/>
  <c r="K598" i="1"/>
  <c r="G647" i="1" s="1"/>
  <c r="F571" i="1"/>
  <c r="H571" i="1"/>
  <c r="L570" i="1"/>
  <c r="L571" i="1" s="1"/>
  <c r="H552" i="1"/>
  <c r="G545" i="1"/>
  <c r="L534" i="1"/>
  <c r="K551" i="1"/>
  <c r="L544" i="1"/>
  <c r="G552" i="1"/>
  <c r="K550" i="1"/>
  <c r="H545" i="1"/>
  <c r="I545" i="1"/>
  <c r="K549" i="1"/>
  <c r="L529" i="1"/>
  <c r="F552" i="1"/>
  <c r="L524" i="1"/>
  <c r="K503" i="1"/>
  <c r="J641" i="1"/>
  <c r="E31" i="2"/>
  <c r="D50" i="2"/>
  <c r="J623" i="1"/>
  <c r="F130" i="2"/>
  <c r="F144" i="2" s="1"/>
  <c r="F145" i="2" s="1"/>
  <c r="H476" i="1"/>
  <c r="H624" i="1" s="1"/>
  <c r="J624" i="1" s="1"/>
  <c r="C29" i="10"/>
  <c r="C21" i="10"/>
  <c r="H647" i="1"/>
  <c r="H662" i="1"/>
  <c r="I662" i="1" s="1"/>
  <c r="C20" i="10"/>
  <c r="E13" i="13"/>
  <c r="C13" i="13" s="1"/>
  <c r="C122" i="2"/>
  <c r="C19" i="10"/>
  <c r="C120" i="2"/>
  <c r="J639" i="1"/>
  <c r="J640" i="1"/>
  <c r="I446" i="1"/>
  <c r="G642" i="1" s="1"/>
  <c r="J642" i="1" s="1"/>
  <c r="H408" i="1"/>
  <c r="H644" i="1" s="1"/>
  <c r="J644" i="1" s="1"/>
  <c r="L382" i="1"/>
  <c r="G636" i="1" s="1"/>
  <c r="J636" i="1" s="1"/>
  <c r="J634" i="1"/>
  <c r="F661" i="1"/>
  <c r="G661" i="1"/>
  <c r="D29" i="13"/>
  <c r="C29" i="13" s="1"/>
  <c r="D127" i="2"/>
  <c r="D128" i="2" s="1"/>
  <c r="D145" i="2" s="1"/>
  <c r="H661" i="1"/>
  <c r="L362" i="1"/>
  <c r="C27" i="10" s="1"/>
  <c r="K352" i="1"/>
  <c r="L351" i="1"/>
  <c r="C25" i="10"/>
  <c r="E132" i="2"/>
  <c r="E118" i="2"/>
  <c r="H338" i="1"/>
  <c r="H352" i="1" s="1"/>
  <c r="E119" i="2"/>
  <c r="G338" i="1"/>
  <c r="G352" i="1" s="1"/>
  <c r="F338" i="1"/>
  <c r="F352" i="1" s="1"/>
  <c r="C11" i="10"/>
  <c r="J338" i="1"/>
  <c r="J352" i="1" s="1"/>
  <c r="E115" i="2"/>
  <c r="L290" i="1"/>
  <c r="L338" i="1" s="1"/>
  <c r="C132" i="2"/>
  <c r="H25" i="13"/>
  <c r="C125" i="2"/>
  <c r="C119" i="2"/>
  <c r="C118" i="2"/>
  <c r="C13" i="10"/>
  <c r="L247" i="1"/>
  <c r="H660" i="1" s="1"/>
  <c r="J257" i="1"/>
  <c r="J271" i="1" s="1"/>
  <c r="E16" i="13"/>
  <c r="C16" i="13" s="1"/>
  <c r="C123" i="2"/>
  <c r="C121" i="2"/>
  <c r="C17" i="10"/>
  <c r="K257" i="1"/>
  <c r="K271" i="1" s="1"/>
  <c r="E8" i="13"/>
  <c r="C8" i="13" s="1"/>
  <c r="D7" i="13"/>
  <c r="C7" i="13" s="1"/>
  <c r="C16" i="10"/>
  <c r="C112" i="2"/>
  <c r="F257" i="1"/>
  <c r="F271" i="1" s="1"/>
  <c r="C12" i="10"/>
  <c r="H257" i="1"/>
  <c r="H271" i="1" s="1"/>
  <c r="G257" i="1"/>
  <c r="G271" i="1" s="1"/>
  <c r="L229" i="1"/>
  <c r="G660" i="1" s="1"/>
  <c r="C110" i="2"/>
  <c r="I257" i="1"/>
  <c r="I271" i="1" s="1"/>
  <c r="C10" i="10"/>
  <c r="D14" i="13"/>
  <c r="C14" i="13" s="1"/>
  <c r="D15" i="13"/>
  <c r="C15" i="13" s="1"/>
  <c r="G649" i="1"/>
  <c r="J649" i="1" s="1"/>
  <c r="C124" i="2"/>
  <c r="C109" i="2"/>
  <c r="C15" i="10"/>
  <c r="D6" i="13"/>
  <c r="C6" i="13" s="1"/>
  <c r="D12" i="13"/>
  <c r="C12" i="13" s="1"/>
  <c r="C18" i="10"/>
  <c r="C78" i="2"/>
  <c r="C81" i="2"/>
  <c r="F112" i="1"/>
  <c r="C57" i="2"/>
  <c r="C62" i="2"/>
  <c r="C63" i="2" s="1"/>
  <c r="L211" i="1"/>
  <c r="D5" i="13"/>
  <c r="C5" i="13" s="1"/>
  <c r="C111" i="2"/>
  <c r="C35" i="10"/>
  <c r="J622" i="1"/>
  <c r="H52" i="1"/>
  <c r="H619" i="1" s="1"/>
  <c r="J619" i="1" s="1"/>
  <c r="J617" i="1"/>
  <c r="D18" i="2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E128" i="2" l="1"/>
  <c r="E145" i="2" s="1"/>
  <c r="J647" i="1"/>
  <c r="K552" i="1"/>
  <c r="L545" i="1"/>
  <c r="G51" i="2"/>
  <c r="L408" i="1"/>
  <c r="G637" i="1" s="1"/>
  <c r="J637" i="1" s="1"/>
  <c r="G664" i="1"/>
  <c r="G667" i="1" s="1"/>
  <c r="I661" i="1"/>
  <c r="G635" i="1"/>
  <c r="J635" i="1" s="1"/>
  <c r="H664" i="1"/>
  <c r="H667" i="1" s="1"/>
  <c r="L352" i="1"/>
  <c r="G633" i="1" s="1"/>
  <c r="J633" i="1" s="1"/>
  <c r="D31" i="13"/>
  <c r="C31" i="13" s="1"/>
  <c r="F660" i="1"/>
  <c r="F664" i="1" s="1"/>
  <c r="F672" i="1" s="1"/>
  <c r="C4" i="10" s="1"/>
  <c r="C25" i="13"/>
  <c r="H33" i="13"/>
  <c r="H648" i="1"/>
  <c r="J648" i="1" s="1"/>
  <c r="C128" i="2"/>
  <c r="E33" i="13"/>
  <c r="D35" i="13" s="1"/>
  <c r="C115" i="2"/>
  <c r="C28" i="10"/>
  <c r="D24" i="10" s="1"/>
  <c r="C104" i="2"/>
  <c r="F193" i="1"/>
  <c r="G627" i="1" s="1"/>
  <c r="J627" i="1" s="1"/>
  <c r="C36" i="10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H646" i="1"/>
  <c r="J646" i="1" s="1"/>
  <c r="G672" i="1"/>
  <c r="C5" i="10" s="1"/>
  <c r="I660" i="1"/>
  <c r="I664" i="1" s="1"/>
  <c r="I672" i="1" s="1"/>
  <c r="C7" i="10" s="1"/>
  <c r="D33" i="13"/>
  <c r="D36" i="13" s="1"/>
  <c r="F667" i="1"/>
  <c r="C145" i="2"/>
  <c r="D20" i="10"/>
  <c r="D16" i="10"/>
  <c r="D26" i="10"/>
  <c r="D25" i="10"/>
  <c r="D15" i="10"/>
  <c r="D19" i="10"/>
  <c r="D10" i="10"/>
  <c r="C30" i="10"/>
  <c r="D23" i="10"/>
  <c r="D13" i="10"/>
  <c r="D11" i="10"/>
  <c r="D21" i="10"/>
  <c r="D22" i="10"/>
  <c r="D27" i="10"/>
  <c r="D18" i="10"/>
  <c r="D17" i="10"/>
  <c r="D12" i="10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<sst xmlns="http://schemas.openxmlformats.org/spreadsheetml/2006/main" count="3965" uniqueCount="919">
  <si>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</si>
  <si>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</si>
  <si>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</si>
  <si>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</si>
  <si>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</si>
  <si>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</si>
  <si>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</si>
  <si>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</si>
  <si>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</si>
  <si>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</si>
  <si>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</si>
  <si>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</si>
  <si>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</si>
  <si>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</si>
  <si>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</si>
  <si>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</si>
  <si>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</si>
  <si>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</si>
  <si>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</si>
  <si>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</si>
  <si>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</si>
  <si>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</si>
  <si>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</si>
  <si>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</si>
  <si>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</si>
  <si>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</si>
  <si>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</si>
  <si>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</si>
  <si>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</si>
  <si>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</si>
  <si>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</si>
  <si>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</si>
  <si>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</si>
  <si>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</si>
  <si>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</si>
  <si>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</si>
  <si>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</si>
  <si>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</si>
  <si>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</si>
  <si>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</si>
  <si>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</si>
  <si>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</si>
  <si>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</si>
  <si>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</si>
  <si>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</si>
  <si>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</si>
  <si>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</si>
  <si>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</si>
  <si>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</si>
  <si>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</si>
  <si>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</si>
  <si>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</si>
  <si>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</si>
  <si>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</si>
  <si>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</si>
  <si>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</si>
  <si>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</si>
  <si>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</si>
  <si>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</si>
  <si>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</si>
  <si>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</si>
  <si>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</si>
  <si>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</si>
  <si>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</si>
  <si>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</si>
  <si>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</si>
  <si>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</si>
  <si>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</si>
  <si>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</si>
  <si>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</si>
  <si>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</si>
  <si>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</si>
  <si>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</si>
  <si>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</si>
  <si>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</si>
  <si>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</si>
  <si>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</si>
  <si>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</si>
  <si>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</si>
  <si>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</si>
  <si>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</si>
  <si>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</si>
  <si>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</si>
  <si>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</si>
  <si>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</si>
  <si>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</si>
  <si>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</si>
  <si>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</si>
  <si>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</si>
  <si>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</si>
  <si>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</si>
  <si>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</si>
  <si>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</si>
  <si>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</si>
  <si>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</si>
  <si>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</si>
  <si>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</si>
  <si>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</si>
  <si>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</si>
  <si>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</si>
  <si>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</si>
  <si>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</si>
  <si>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</si>
  <si>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</si>
  <si>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</si>
  <si>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</si>
  <si>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</si>
  <si>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</si>
  <si>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</si>
  <si>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</si>
  <si>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</si>
  <si>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</si>
  <si>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</si>
  <si>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</si>
  <si>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</si>
  <si>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</si>
  <si>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</si>
  <si>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</si>
  <si>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</si>
  <si>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</si>
  <si>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</si>
  <si>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</si>
  <si>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</si>
  <si>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</si>
  <si>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</si>
  <si>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</si>
  <si>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</si>
  <si>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</si>
  <si>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</si>
  <si>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</si>
  <si>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</si>
  <si>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</si>
  <si>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</si>
  <si>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</si>
  <si>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</si>
  <si>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</si>
  <si>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</si>
  <si>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</si>
  <si>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</si>
  <si>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</si>
  <si>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</si>
  <si>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</si>
  <si>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</si>
  <si>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</si>
  <si>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</si>
  <si>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</si>
  <si>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</si>
  <si>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</si>
  <si>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</si>
  <si>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</si>
  <si>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</si>
  <si>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</si>
  <si>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</si>
  <si>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</si>
  <si>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</si>
  <si>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</si>
  <si>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</si>
  <si>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</si>
  <si>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</si>
  <si>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</si>
  <si>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</si>
  <si>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</si>
  <si>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</si>
  <si>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</si>
  <si>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</si>
  <si>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</si>
  <si>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</si>
  <si>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</si>
  <si>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</si>
  <si>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</si>
  <si>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</si>
  <si>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</si>
  <si>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</si>
  <si>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</si>
  <si>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</si>
  <si>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</si>
  <si>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</si>
  <si>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</si>
  <si>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</si>
  <si>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</si>
  <si>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</si>
  <si>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</si>
  <si>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</si>
  <si>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</si>
  <si>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</si>
  <si>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</si>
  <si>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</si>
  <si>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</si>
  <si>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</si>
  <si>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</si>
  <si>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</si>
  <si>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</si>
  <si>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</si>
  <si>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</si>
  <si>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</si>
  <si>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</si>
  <si>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</si>
  <si>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</si>
  <si>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</si>
  <si>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</si>
  <si>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</si>
  <si>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</si>
  <si>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</si>
  <si>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</si>
  <si>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</si>
  <si>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</si>
  <si>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</si>
  <si>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</si>
  <si>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</si>
  <si>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</si>
  <si>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</si>
  <si>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</si>
  <si>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</si>
  <si>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</si>
  <si>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</si>
  <si>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</si>
  <si>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</si>
  <si>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</si>
  <si>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</si>
  <si>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</si>
  <si>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</si>
  <si>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</si>
  <si>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</si>
  <si>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</si>
  <si>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</si>
  <si>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</si>
  <si>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</si>
  <si>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</si>
  <si>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</si>
  <si>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</si>
  <si>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</si>
  <si>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</si>
  <si>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</si>
  <si>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</si>
  <si>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</si>
  <si>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</si>
  <si>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</si>
  <si>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</si>
  <si>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</si>
  <si>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</si>
  <si>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</si>
  <si>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</si>
  <si>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</si>
  <si>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</si>
  <si>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</si>
  <si>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</si>
  <si>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</si>
  <si>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</si>
  <si>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</si>
  <si>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</si>
  <si>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</si>
  <si>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</si>
  <si>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</si>
  <si>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</si>
  <si>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</si>
  <si>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</si>
  <si>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</si>
  <si>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</si>
  <si>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</si>
  <si>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</si>
  <si>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</si>
  <si>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</si>
  <si>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</si>
  <si>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</si>
  <si>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</si>
  <si>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</si>
  <si>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</si>
  <si>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</si>
  <si>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</si>
  <si>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</si>
  <si>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</si>
  <si>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</si>
  <si>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</si>
  <si>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</si>
  <si>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</si>
  <si>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</si>
  <si>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</si>
  <si>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</si>
  <si>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</si>
  <si>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</si>
  <si>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</si>
  <si>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</si>
  <si>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</si>
  <si>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</si>
  <si>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</si>
  <si>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</si>
  <si>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</si>
  <si>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</si>
  <si>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</si>
  <si>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</si>
  <si>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</si>
  <si>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</si>
  <si>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</si>
  <si>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</si>
  <si>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</si>
  <si>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</si>
  <si>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</si>
  <si>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</si>
  <si>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</si>
  <si>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</si>
  <si>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</si>
  <si>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</si>
  <si>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</si>
  <si>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</si>
  <si>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</si>
  <si>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</si>
  <si>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</si>
  <si>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</si>
  <si>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</si>
  <si>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</si>
  <si>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</si>
  <si>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</si>
  <si>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</si>
  <si>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</si>
  <si>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</si>
  <si>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</si>
  <si>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</si>
  <si>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</si>
  <si>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</si>
  <si>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</si>
  <si>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</si>
  <si>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</si>
  <si>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</si>
  <si>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</si>
  <si>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</si>
  <si>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</si>
  <si>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</si>
  <si>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</si>
  <si>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</si>
  <si>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</si>
  <si>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</si>
  <si>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</si>
  <si>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</si>
  <si>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</si>
  <si>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</si>
  <si>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</si>
  <si>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</si>
  <si>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</si>
  <si>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</si>
  <si>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</si>
  <si>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</si>
  <si>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</si>
  <si>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</si>
  <si>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</si>
  <si>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</si>
  <si>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</si>
  <si>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</si>
  <si>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</si>
  <si>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</si>
  <si>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</si>
  <si>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</si>
  <si>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</si>
  <si>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</si>
  <si>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</si>
  <si>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</si>
  <si>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</si>
  <si>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</si>
  <si>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</si>
  <si>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</si>
  <si>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</si>
  <si>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</si>
  <si>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</si>
  <si>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</si>
  <si>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</si>
  <si>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</si>
  <si>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</si>
  <si>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</si>
  <si>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</si>
  <si>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</si>
  <si>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</si>
  <si>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</si>
  <si>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</si>
  <si>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</si>
  <si>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</si>
  <si>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</si>
  <si>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</si>
  <si>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</si>
  <si>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</si>
  <si>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</si>
  <si>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</si>
  <si>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</si>
  <si>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</si>
  <si>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</si>
  <si>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</si>
  <si>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</si>
  <si>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</si>
  <si>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</si>
  <si>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</si>
  <si>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</si>
  <si>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</si>
  <si>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</si>
  <si>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</si>
  <si>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</si>
  <si>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</si>
  <si>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</si>
  <si>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</si>
  <si>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</si>
  <si>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</si>
  <si>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</si>
  <si>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</si>
  <si>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</si>
  <si>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</si>
  <si>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</si>
  <si>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</si>
  <si>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</si>
  <si>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</si>
  <si>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</si>
  <si>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</si>
  <si>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</si>
  <si>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</si>
  <si>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</si>
  <si>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</si>
  <si>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</si>
  <si>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</si>
  <si>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</si>
  <si>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</si>
  <si>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</si>
  <si>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</si>
  <si>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</si>
  <si>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</si>
  <si>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</si>
  <si>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</si>
  <si>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</si>
  <si>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</si>
  <si>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</si>
  <si>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</si>
  <si>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</si>
  <si>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</si>
  <si>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</si>
  <si>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</si>
  <si>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</si>
  <si>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</si>
  <si>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</si>
  <si>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</si>
  <si>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</si>
  <si>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</si>
  <si>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</si>
  <si>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</si>
  <si>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</si>
  <si>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</si>
  <si>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</si>
  <si>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</si>
  <si>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</si>
  <si>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</si>
  <si>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</si>
  <si>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</si>
  <si>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</si>
  <si>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</si>
  <si>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</si>
  <si>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</si>
  <si>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</si>
  <si>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</si>
  <si>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</si>
  <si>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</si>
  <si>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</si>
  <si>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</si>
  <si>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</si>
  <si>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</si>
  <si>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</si>
  <si>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</si>
  <si>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</si>
  <si>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</si>
  <si>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</si>
  <si>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</si>
  <si>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</si>
  <si>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</si>
  <si>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</si>
  <si>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</si>
  <si>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</si>
  <si>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</si>
  <si>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</si>
  <si>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</si>
  <si>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</si>
  <si>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</si>
  <si>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</si>
  <si>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</si>
  <si>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</si>
  <si>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</si>
  <si>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</si>
  <si>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</si>
  <si>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</si>
  <si>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</si>
  <si>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</si>
  <si>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</si>
  <si>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</si>
  <si>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</si>
  <si>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</si>
  <si>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</si>
  <si>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</si>
  <si>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</si>
  <si>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</si>
  <si>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</si>
  <si>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</si>
  <si>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</si>
  <si>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</si>
  <si>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</si>
  <si>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</si>
  <si>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</si>
  <si>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</si>
  <si>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</si>
  <si>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</si>
  <si>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</si>
  <si>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</si>
  <si>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</si>
  <si>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</si>
  <si>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</si>
  <si>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</si>
  <si>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</si>
  <si>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</si>
  <si>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</si>
  <si>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</si>
  <si>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</si>
  <si>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</si>
  <si>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</si>
  <si>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</si>
  <si>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</si>
  <si>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</si>
  <si>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</si>
  <si>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</si>
  <si>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</si>
  <si>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</si>
  <si>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</si>
  <si>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</si>
  <si>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</si>
  <si>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</si>
  <si>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</si>
  <si>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</si>
  <si>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</si>
  <si>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</si>
  <si>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</si>
  <si>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</si>
  <si>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</si>
  <si>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</si>
  <si>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</si>
  <si>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</si>
  <si>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</si>
  <si>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</si>
  <si>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</si>
  <si>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</si>
  <si>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</si>
  <si>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</si>
  <si>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</si>
  <si>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</si>
  <si>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</si>
  <si>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</si>
  <si>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</si>
  <si>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</si>
  <si>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</si>
  <si>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</si>
  <si>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</si>
  <si>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</si>
  <si>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</si>
  <si>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</si>
  <si>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</si>
  <si>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</si>
  <si>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</si>
  <si>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</si>
  <si>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</si>
  <si>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</si>
  <si>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</si>
  <si>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</si>
  <si>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</si>
  <si>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</si>
  <si>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</si>
  <si>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</si>
  <si>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</si>
  <si>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</si>
  <si>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</si>
  <si>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</si>
  <si>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</si>
  <si>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</si>
  <si>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</si>
  <si>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</si>
  <si>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</si>
  <si>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</si>
  <si>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</si>
  <si>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</si>
  <si>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</si>
  <si>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</si>
  <si>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</si>
  <si>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</si>
  <si>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</si>
  <si>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</si>
  <si>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</si>
  <si>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</si>
  <si>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</si>
  <si>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</si>
  <si>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</si>
  <si>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</si>
  <si>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</si>
  <si>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</si>
  <si>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</si>
  <si>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</si>
  <si>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</si>
  <si>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</si>
  <si>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</si>
  <si>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</si>
  <si>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</si>
  <si>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</si>
  <si>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</si>
  <si>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</si>
  <si>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</si>
  <si>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</si>
  <si>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</si>
  <si>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</si>
  <si>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</si>
  <si>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</si>
  <si>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</si>
  <si>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</si>
  <si>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</si>
  <si>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</si>
  <si>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</si>
  <si>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</si>
  <si>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</si>
  <si>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</si>
  <si>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</si>
  <si>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</si>
  <si>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</si>
  <si>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</si>
  <si>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</si>
  <si>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</si>
  <si>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</si>
  <si>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</si>
  <si>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</si>
  <si>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</si>
  <si>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</si>
  <si>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</si>
  <si>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</si>
  <si>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</si>
  <si>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</si>
  <si>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</si>
  <si>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</si>
  <si>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</si>
  <si>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</si>
  <si>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</si>
  <si>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</si>
  <si>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</si>
  <si>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</si>
  <si>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</si>
  <si>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</si>
  <si>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</si>
  <si>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</si>
  <si>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</si>
  <si>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</si>
  <si>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</si>
  <si>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</si>
  <si>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</si>
  <si>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</si>
  <si>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</si>
  <si>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</si>
  <si>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</si>
  <si>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</si>
  <si>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</si>
  <si>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</si>
  <si>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</si>
  <si>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</si>
  <si>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</si>
  <si>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</si>
  <si>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</si>
  <si>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</si>
  <si>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</si>
  <si>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</si>
  <si>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</si>
  <si>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</si>
  <si>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</si>
  <si>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</si>
  <si>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</si>
  <si>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</si>
  <si>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</si>
  <si>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</si>
  <si>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</si>
  <si>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</si>
  <si>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</si>
  <si>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</si>
  <si>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</si>
  <si>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</si>
  <si>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</si>
  <si>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</si>
  <si>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</si>
  <si>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</si>
  <si>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</si>
  <si>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</si>
  <si>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</si>
  <si>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</si>
  <si>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</si>
  <si>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</si>
  <si>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</si>
  <si>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</si>
  <si>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</si>
  <si>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</si>
  <si>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</si>
  <si>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</si>
  <si>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</si>
  <si>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</si>
  <si>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</si>
  <si>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</si>
  <si>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</si>
  <si>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</si>
  <si>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</si>
  <si>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</si>
  <si>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</si>
  <si>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</si>
  <si>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</si>
  <si>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</si>
  <si>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</si>
  <si>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</si>
  <si>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</si>
  <si>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</si>
  <si>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</si>
  <si>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</si>
  <si>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</si>
  <si>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</si>
  <si>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</si>
  <si>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</si>
  <si>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</si>
  <si>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</si>
  <si>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</si>
  <si>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</si>
  <si>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</si>
  <si>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</si>
  <si>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</si>
  <si>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</si>
  <si>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</si>
  <si>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</si>
  <si>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</si>
  <si>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</si>
  <si>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</si>
  <si>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</si>
  <si>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</si>
  <si>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</si>
  <si>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</si>
  <si>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</si>
  <si>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</si>
  <si>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</si>
  <si>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</si>
  <si>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</si>
  <si>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</si>
  <si>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</si>
  <si>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</si>
  <si>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</si>
  <si>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</si>
  <si>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</si>
  <si>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</si>
  <si>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</si>
  <si>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</si>
  <si>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</si>
  <si>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</si>
  <si>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</si>
  <si>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</si>
  <si>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</si>
  <si>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</si>
  <si>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</si>
  <si>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</si>
  <si>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</si>
  <si>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</si>
  <si>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</si>
  <si>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</si>
  <si>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</si>
  <si>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</si>
  <si>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</si>
  <si>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</si>
  <si>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</si>
  <si>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</si>
  <si>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</si>
  <si>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</si>
  <si>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</si>
  <si>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</si>
  <si>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</si>
  <si>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</si>
  <si>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</si>
  <si>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</si>
  <si>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</si>
  <si>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</si>
  <si>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</si>
  <si>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</si>
  <si>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</si>
  <si>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</si>
  <si>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</si>
  <si>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</si>
  <si>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</si>
  <si>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</si>
  <si>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</si>
  <si>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</si>
  <si>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</si>
  <si>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</si>
  <si>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</si>
  <si>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</si>
  <si>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</si>
  <si>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</si>
  <si>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</si>
  <si>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</si>
  <si>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</si>
  <si>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</si>
  <si>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</si>
  <si>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</si>
  <si>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</si>
  <si>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</si>
  <si>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</si>
  <si>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</si>
  <si>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</si>
  <si>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</si>
  <si>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</si>
  <si>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</si>
  <si>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</si>
  <si>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</si>
  <si>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</si>
  <si>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</si>
  <si>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</si>
  <si>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</si>
  <si>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</si>
  <si>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</si>
  <si>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</si>
  <si>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</si>
  <si>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</si>
  <si>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</si>
  <si>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</si>
  <si>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</si>
  <si>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</si>
  <si>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</si>
  <si>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</si>
  <si>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</si>
  <si>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</si>
  <si>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</si>
  <si>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</si>
  <si>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</si>
  <si>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</si>
  <si>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</si>
  <si>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</si>
  <si>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</si>
  <si>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</si>
  <si>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</si>
  <si>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</si>
  <si>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</si>
  <si>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</si>
  <si>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</si>
  <si>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</si>
  <si>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</si>
  <si>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</si>
  <si>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</si>
  <si>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</si>
  <si>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</si>
  <si>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</si>
  <si>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</si>
  <si>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</si>
  <si>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</si>
  <si>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</si>
  <si>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</si>
  <si>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</si>
  <si>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</si>
  <si>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</si>
  <si>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</si>
  <si>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</si>
  <si>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</si>
  <si>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</si>
  <si>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</si>
  <si>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</si>
  <si>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</si>
  <si>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</si>
  <si>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</si>
  <si>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</si>
  <si>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</si>
  <si>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</si>
  <si>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</si>
  <si>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</si>
  <si>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</si>
  <si>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</si>
  <si>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</si>
  <si>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</si>
  <si>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</si>
  <si>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</si>
  <si>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</si>
  <si>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</si>
  <si>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</si>
  <si>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</si>
  <si>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</si>
  <si>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</si>
  <si>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</si>
  <si>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</si>
  <si>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</si>
  <si>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</si>
  <si>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</si>
  <si>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</si>
  <si>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</si>
  <si>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</si>
  <si>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</si>
  <si>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</si>
  <si>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</si>
  <si>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</si>
  <si>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</si>
  <si>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</si>
  <si>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</si>
  <si>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</si>
  <si>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</si>
  <si>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</si>
  <si>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</si>
  <si>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</si>
  <si>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</si>
  <si>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</si>
  <si>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</si>
  <si>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</si>
  <si>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</si>
  <si>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</si>
  <si>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</si>
  <si>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</si>
  <si>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</si>
  <si>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</si>
  <si>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</si>
  <si>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</si>
  <si>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</si>
  <si>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</si>
  <si>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</si>
  <si>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</si>
  <si>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Private Purpose Trusts (Scholarships)</t>
  </si>
  <si>
    <t>Permanent Funds</t>
  </si>
  <si>
    <t>08/21</t>
  </si>
  <si>
    <t>07/06</t>
  </si>
  <si>
    <t>07/17</t>
  </si>
  <si>
    <t>08/27</t>
  </si>
  <si>
    <t>Jaffrey-Rindge Cooperative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</si>
</sst>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42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10"/>
      <color rgb="FF000000"/>
      <name val="Arial"/>
      <charset val="1"/>
    </font>
    <font>
      <sz val="10"/>
      <name val="Arial"/>
      <charset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4">
    <xf numFmtId="0" fontId="0" fillId="0" borderId="0"/>
    <xf numFmtId="0" fontId="39" fillId="0" borderId="0"/>
    <xf numFmtId="0" fontId="40" fillId="0" borderId="0"/>
    <xf numFmtId="0" fontId="41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2"/>
    <cellStyle name="Normal 4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5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918</v>
      </c>
      <c r="B2" s="21">
        <v>274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1441074.05</v>
      </c>
      <c r="G9" s="18">
        <v>539.09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2385843.2400000002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159280.72</v>
      </c>
      <c r="G12" s="18">
        <v>26551.34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115540.51+46145.56</f>
        <v>161686.07</v>
      </c>
      <c r="G13" s="18">
        <v>10339.780000000001</v>
      </c>
      <c r="H13" s="18">
        <v>186134.83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6302.86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30501.39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9130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3000</v>
      </c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1780473.7000000002</v>
      </c>
      <c r="G19" s="41">
        <f>SUM(G9:G18)</f>
        <v>67931.600000000006</v>
      </c>
      <c r="H19" s="41">
        <f>SUM(H9:H18)</f>
        <v>186134.83</v>
      </c>
      <c r="I19" s="41">
        <f>SUM(I9:I18)</f>
        <v>0</v>
      </c>
      <c r="J19" s="41">
        <f>SUM(J9:J18)</f>
        <v>2385843.2400000002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185832.06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17616.560000000001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149142.51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>
        <v>19321.939999999999</v>
      </c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f>52062.08-6211.73</f>
        <v>45850.350000000006</v>
      </c>
      <c r="G28" s="18">
        <v>15</v>
      </c>
      <c r="H28" s="18">
        <v>281.25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6211.73</v>
      </c>
      <c r="G29" s="18">
        <v>1.1499999999999999</v>
      </c>
      <c r="H29" s="18">
        <v>21.52</v>
      </c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17879.82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1545.8</v>
      </c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202750.39</v>
      </c>
      <c r="G32" s="41">
        <f>SUM(G22:G31)</f>
        <v>37217.910000000003</v>
      </c>
      <c r="H32" s="41">
        <f>SUM(H22:H31)</f>
        <v>186134.83</v>
      </c>
      <c r="I32" s="41">
        <f>SUM(I22:I31)</f>
        <v>0</v>
      </c>
      <c r="J32" s="41">
        <f>SUM(J22:J31)</f>
        <v>17616.560000000001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30501.39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12130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212.3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2368226.6799999997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250000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225332.66</v>
      </c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990260.65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1577723.31</v>
      </c>
      <c r="G51" s="41">
        <f>SUM(G35:G50)</f>
        <v>30713.69</v>
      </c>
      <c r="H51" s="41">
        <f>SUM(H35:H50)</f>
        <v>0</v>
      </c>
      <c r="I51" s="41">
        <f>SUM(I35:I50)</f>
        <v>0</v>
      </c>
      <c r="J51" s="41">
        <f>SUM(J35:J50)</f>
        <v>2368226.6799999997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1780473.7000000002</v>
      </c>
      <c r="G52" s="41">
        <f>G51+G32</f>
        <v>67931.600000000006</v>
      </c>
      <c r="H52" s="41">
        <f>H51+H32</f>
        <v>186134.83</v>
      </c>
      <c r="I52" s="41">
        <f>I51+I32</f>
        <v>0</v>
      </c>
      <c r="J52" s="41">
        <f>J51+J32</f>
        <v>2385843.2399999998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15331950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15331950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19250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117300.08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4601.04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141151.12000000002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4533.4399999999996</v>
      </c>
      <c r="G96" s="18"/>
      <c r="H96" s="18"/>
      <c r="I96" s="18"/>
      <c r="J96" s="18">
        <v>91255.02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244801.12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3295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87909.91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421070.13</v>
      </c>
      <c r="G110" s="18"/>
      <c r="H110" s="18"/>
      <c r="I110" s="18"/>
      <c r="J110" s="18">
        <v>33.86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516808.48</v>
      </c>
      <c r="G111" s="41">
        <f>SUM(G96:G110)</f>
        <v>244801.12</v>
      </c>
      <c r="H111" s="41">
        <f>SUM(H96:H110)</f>
        <v>0</v>
      </c>
      <c r="I111" s="41">
        <f>SUM(I96:I110)</f>
        <v>0</v>
      </c>
      <c r="J111" s="41">
        <f>SUM(J96:J110)</f>
        <v>91288.88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15989909.6</v>
      </c>
      <c r="G112" s="41">
        <f>G60+G111</f>
        <v>244801.12</v>
      </c>
      <c r="H112" s="41">
        <f>H60+H79+H94+H111</f>
        <v>0</v>
      </c>
      <c r="I112" s="41">
        <f>I60+I111</f>
        <v>0</v>
      </c>
      <c r="J112" s="41">
        <f>J60+J111</f>
        <v>91288.88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4873685.55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2118015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11266.77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7002967.3199999994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325898.36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411818.81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4219.3999999999996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6728.01+605.1</f>
        <v>7333.1100000000006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280000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1021936.57</v>
      </c>
      <c r="G136" s="41">
        <f>SUM(G123:G135)</f>
        <v>7333.1100000000006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8024903.8899999997</v>
      </c>
      <c r="G140" s="41">
        <f>G121+SUM(G136:G137)</f>
        <v>7333.1100000000006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329911.84000000003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97007.77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235320.8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356202.64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126339.91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126339.91</v>
      </c>
      <c r="G162" s="41">
        <f>SUM(G150:G161)</f>
        <v>235320.8</v>
      </c>
      <c r="H162" s="41">
        <f>SUM(H150:H161)</f>
        <v>783122.25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126339.91</v>
      </c>
      <c r="G169" s="41">
        <f>G147+G162+SUM(G163:G168)</f>
        <v>235320.8</v>
      </c>
      <c r="H169" s="41">
        <f>H147+H162+SUM(H163:H168)</f>
        <v>783122.25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1700000</v>
      </c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1700000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17500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15118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15118</v>
      </c>
      <c r="G183" s="41">
        <f>SUM(G179:G182)</f>
        <v>17500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1715118</v>
      </c>
      <c r="G192" s="41">
        <f>G183+SUM(G188:G191)</f>
        <v>17500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25856271.399999999</v>
      </c>
      <c r="G193" s="47">
        <f>G112+G140+G169+G192</f>
        <v>504955.02999999997</v>
      </c>
      <c r="H193" s="47">
        <f>H112+H140+H169+H192</f>
        <v>783122.25</v>
      </c>
      <c r="I193" s="47">
        <f>I112+I140+I169+I192</f>
        <v>0</v>
      </c>
      <c r="J193" s="47">
        <f>J112+J140+J192</f>
        <v>91288.88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2602108.56</v>
      </c>
      <c r="G197" s="18">
        <f>1316457.12+33901.88</f>
        <v>1350359</v>
      </c>
      <c r="H197" s="18">
        <f>12395.9+1179.68</f>
        <v>13575.58</v>
      </c>
      <c r="I197" s="18">
        <v>82741.47</v>
      </c>
      <c r="J197" s="18">
        <v>12851.52</v>
      </c>
      <c r="K197" s="18">
        <v>120</v>
      </c>
      <c r="L197" s="19">
        <f>SUM(F197:K197)</f>
        <v>4061756.1300000004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1170774.22+208490.97</f>
        <v>1379265.19</v>
      </c>
      <c r="G198" s="18">
        <f>591698.99+68640.27</f>
        <v>660339.26</v>
      </c>
      <c r="H198" s="18">
        <f>117157.23+11245.56</f>
        <v>128402.79</v>
      </c>
      <c r="I198" s="18">
        <f>12349.87+1116.31</f>
        <v>13466.18</v>
      </c>
      <c r="J198" s="18">
        <v>1706.29</v>
      </c>
      <c r="K198" s="18">
        <v>13249.79</v>
      </c>
      <c r="L198" s="19">
        <f>SUM(F198:K198)</f>
        <v>2196429.5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85591.82</v>
      </c>
      <c r="G200" s="18">
        <v>18836.12</v>
      </c>
      <c r="H200" s="18"/>
      <c r="I200" s="18">
        <v>699.88</v>
      </c>
      <c r="J200" s="18"/>
      <c r="K200" s="18"/>
      <c r="L200" s="19">
        <f>SUM(F200:K200)</f>
        <v>105127.82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370202.68+575.38+0.01</f>
        <v>370778.07</v>
      </c>
      <c r="G202" s="18">
        <f>171581.1+119.59</f>
        <v>171700.69</v>
      </c>
      <c r="H202" s="18">
        <f>43473.06+14.7</f>
        <v>43487.759999999995</v>
      </c>
      <c r="I202" s="18">
        <v>10313.290000000001</v>
      </c>
      <c r="J202" s="18"/>
      <c r="K202" s="18">
        <v>50</v>
      </c>
      <c r="L202" s="19">
        <f t="shared" ref="L202:L208" si="0">SUM(F202:K202)</f>
        <v>596329.81000000006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148530.88+67752.42</f>
        <v>216283.3</v>
      </c>
      <c r="G203" s="18">
        <f>54811.25+19162.2</f>
        <v>73973.45</v>
      </c>
      <c r="H203" s="18">
        <f>33500.28-0.01</f>
        <v>33500.269999999997</v>
      </c>
      <c r="I203" s="18">
        <f>15776.9+2955.97+0.01</f>
        <v>18732.879999999997</v>
      </c>
      <c r="J203" s="18"/>
      <c r="K203" s="18">
        <v>2500.96</v>
      </c>
      <c r="L203" s="19">
        <f t="shared" si="0"/>
        <v>344990.86000000004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115642.34</v>
      </c>
      <c r="G204" s="18">
        <v>33628.25</v>
      </c>
      <c r="H204" s="18">
        <v>34882.22</v>
      </c>
      <c r="I204" s="18">
        <v>61.67</v>
      </c>
      <c r="J204" s="18"/>
      <c r="K204" s="18">
        <v>5056.53</v>
      </c>
      <c r="L204" s="19">
        <f t="shared" si="0"/>
        <v>189271.01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349488.3</v>
      </c>
      <c r="G205" s="18">
        <f>161419.19-0.01</f>
        <v>161419.18</v>
      </c>
      <c r="H205" s="18">
        <f>2760.79+6018.91</f>
        <v>8779.7000000000007</v>
      </c>
      <c r="I205" s="18">
        <v>2538.86</v>
      </c>
      <c r="J205" s="18">
        <v>790.1</v>
      </c>
      <c r="K205" s="18">
        <v>2882.25</v>
      </c>
      <c r="L205" s="19">
        <f t="shared" si="0"/>
        <v>525898.3899999999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148619.70000000001</v>
      </c>
      <c r="G206" s="18">
        <v>69086.19</v>
      </c>
      <c r="H206" s="18">
        <v>46456.91</v>
      </c>
      <c r="I206" s="18">
        <v>2881.2</v>
      </c>
      <c r="J206" s="18">
        <v>656.85</v>
      </c>
      <c r="K206" s="18">
        <v>5404.14</v>
      </c>
      <c r="L206" s="19">
        <f t="shared" si="0"/>
        <v>273104.99000000005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238118.01+124966.83</f>
        <v>363084.84</v>
      </c>
      <c r="G207" s="18">
        <f>128299.59+57272.98</f>
        <v>185572.57</v>
      </c>
      <c r="H207" s="18">
        <f>146231.62+47886.42</f>
        <v>194118.03999999998</v>
      </c>
      <c r="I207" s="18">
        <f>162567.96+2447.99</f>
        <v>165015.94999999998</v>
      </c>
      <c r="J207" s="18">
        <f>2500.75+26870.62</f>
        <v>29371.37</v>
      </c>
      <c r="K207" s="18">
        <v>149.44999999999999</v>
      </c>
      <c r="L207" s="19">
        <f t="shared" si="0"/>
        <v>937312.21999999986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179861.5+326100.51</f>
        <v>505962.01</v>
      </c>
      <c r="I208" s="18">
        <v>52185.55</v>
      </c>
      <c r="J208" s="18"/>
      <c r="K208" s="18"/>
      <c r="L208" s="19">
        <f t="shared" si="0"/>
        <v>558147.56000000006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73456.63</v>
      </c>
      <c r="G209" s="18">
        <v>30092.959999999999</v>
      </c>
      <c r="H209" s="18">
        <f>114040.99-0.01</f>
        <v>114040.98000000001</v>
      </c>
      <c r="I209" s="18">
        <f>9053.22+55401.35</f>
        <v>64454.57</v>
      </c>
      <c r="J209" s="18">
        <v>69646.149999999994</v>
      </c>
      <c r="K209" s="18"/>
      <c r="L209" s="19">
        <f>SUM(F209:K209)</f>
        <v>351691.29000000004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5704318.7499999991</v>
      </c>
      <c r="G211" s="41">
        <f t="shared" si="1"/>
        <v>2755007.6700000004</v>
      </c>
      <c r="H211" s="41">
        <f t="shared" si="1"/>
        <v>1123206.26</v>
      </c>
      <c r="I211" s="41">
        <f t="shared" si="1"/>
        <v>413091.5</v>
      </c>
      <c r="J211" s="41">
        <f t="shared" si="1"/>
        <v>115022.28</v>
      </c>
      <c r="K211" s="41">
        <f t="shared" si="1"/>
        <v>29413.119999999999</v>
      </c>
      <c r="L211" s="41">
        <f t="shared" si="1"/>
        <v>10140059.580000002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1011307.27</v>
      </c>
      <c r="G215" s="18">
        <f>459216.59+16605</f>
        <v>475821.59</v>
      </c>
      <c r="H215" s="18">
        <f>58867.91+577.8-0.01</f>
        <v>59445.700000000004</v>
      </c>
      <c r="I215" s="18">
        <v>24448.85</v>
      </c>
      <c r="J215" s="18">
        <v>4943.58</v>
      </c>
      <c r="K215" s="18">
        <v>120</v>
      </c>
      <c r="L215" s="19">
        <f>SUM(F215:K215)</f>
        <v>1576086.9900000002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482343.94+102118.03</f>
        <v>584461.97</v>
      </c>
      <c r="G216" s="18">
        <f>257893.6+33619.72</f>
        <v>291513.32</v>
      </c>
      <c r="H216" s="18">
        <f>20680+550281.68+5508.03</f>
        <v>576469.71000000008</v>
      </c>
      <c r="I216" s="18">
        <f>6084.91+546.76</f>
        <v>6631.67</v>
      </c>
      <c r="J216" s="18">
        <v>794.85</v>
      </c>
      <c r="K216" s="18">
        <v>6489.69</v>
      </c>
      <c r="L216" s="19">
        <f>SUM(F216:K216)</f>
        <v>1466361.21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155700</v>
      </c>
      <c r="G217" s="18">
        <v>62503.33</v>
      </c>
      <c r="H217" s="18"/>
      <c r="I217" s="18">
        <v>6201.85</v>
      </c>
      <c r="J217" s="18"/>
      <c r="K217" s="18">
        <v>750</v>
      </c>
      <c r="L217" s="19">
        <f>SUM(F217:K217)</f>
        <v>225155.18000000002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56806.2</v>
      </c>
      <c r="G218" s="18">
        <v>8569.91</v>
      </c>
      <c r="H218" s="18">
        <v>3076</v>
      </c>
      <c r="I218" s="18">
        <v>4402.41</v>
      </c>
      <c r="J218" s="18"/>
      <c r="K218" s="18">
        <v>879.5</v>
      </c>
      <c r="L218" s="19">
        <f>SUM(F218:K218)</f>
        <v>73734.02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254100.68+281.82</f>
        <v>254382.5</v>
      </c>
      <c r="G220" s="18">
        <f>122460.71+58.57</f>
        <v>122519.28000000001</v>
      </c>
      <c r="H220" s="18">
        <f>9442.58+7.2</f>
        <v>9449.7800000000007</v>
      </c>
      <c r="I220" s="18">
        <v>2799.93</v>
      </c>
      <c r="J220" s="18">
        <v>1774</v>
      </c>
      <c r="K220" s="18">
        <v>50</v>
      </c>
      <c r="L220" s="19">
        <f t="shared" ref="L220:L226" si="2">SUM(F220:K220)</f>
        <v>390975.49000000005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70870.82+33184.86</f>
        <v>104055.68000000001</v>
      </c>
      <c r="G221" s="18">
        <f>32316.99+9385.57</f>
        <v>41702.559999999998</v>
      </c>
      <c r="H221" s="18">
        <v>16408.3</v>
      </c>
      <c r="I221" s="18">
        <f>8148.67+1447.82</f>
        <v>9596.49</v>
      </c>
      <c r="J221" s="18">
        <v>346.53</v>
      </c>
      <c r="K221" s="18">
        <v>1224.96</v>
      </c>
      <c r="L221" s="19">
        <f t="shared" si="2"/>
        <v>173334.51999999996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56641.15</v>
      </c>
      <c r="G222" s="18">
        <v>16470.98</v>
      </c>
      <c r="H222" s="18">
        <v>17085.169999999998</v>
      </c>
      <c r="I222" s="18">
        <v>30.21</v>
      </c>
      <c r="J222" s="18"/>
      <c r="K222" s="18">
        <v>2476.67</v>
      </c>
      <c r="L222" s="19">
        <f t="shared" si="2"/>
        <v>92704.180000000008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246386.73</v>
      </c>
      <c r="G223" s="18">
        <v>133692.9</v>
      </c>
      <c r="H223" s="18">
        <f>5126.4+2948.04</f>
        <v>8074.44</v>
      </c>
      <c r="I223" s="18">
        <v>1670.03</v>
      </c>
      <c r="J223" s="18"/>
      <c r="K223" s="18">
        <v>1803.5</v>
      </c>
      <c r="L223" s="19">
        <f t="shared" si="2"/>
        <v>391627.60000000003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72793.320000000007</v>
      </c>
      <c r="G224" s="18">
        <v>33838.129999999997</v>
      </c>
      <c r="H224" s="18">
        <v>22754.400000000001</v>
      </c>
      <c r="I224" s="18">
        <v>1411.2</v>
      </c>
      <c r="J224" s="18">
        <v>321.72000000000003</v>
      </c>
      <c r="K224" s="18">
        <v>2646.92</v>
      </c>
      <c r="L224" s="19">
        <f t="shared" si="2"/>
        <v>133765.69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99105.17+61208.24</f>
        <v>160313.41</v>
      </c>
      <c r="G225" s="18">
        <f>35147.45+28052.07</f>
        <v>63199.519999999997</v>
      </c>
      <c r="H225" s="18">
        <f>77739.37+23454.57</f>
        <v>101193.94</v>
      </c>
      <c r="I225" s="18">
        <f>101149.66+1199.02</f>
        <v>102348.68000000001</v>
      </c>
      <c r="J225" s="18">
        <f>2651.06+13161.12</f>
        <v>15812.18</v>
      </c>
      <c r="K225" s="18">
        <v>73.2</v>
      </c>
      <c r="L225" s="19">
        <f t="shared" si="2"/>
        <v>442940.93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109826.97+159722.7</f>
        <v>269549.67000000004</v>
      </c>
      <c r="I226" s="18">
        <v>25560.27</v>
      </c>
      <c r="J226" s="18"/>
      <c r="K226" s="18"/>
      <c r="L226" s="19">
        <f t="shared" si="2"/>
        <v>295109.94000000006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35978.76</v>
      </c>
      <c r="G227" s="18">
        <v>14739.41</v>
      </c>
      <c r="H227" s="18">
        <v>55856.81</v>
      </c>
      <c r="I227" s="18">
        <f>1166.67+27135.35</f>
        <v>28302.019999999997</v>
      </c>
      <c r="J227" s="18">
        <v>34112.400000000001</v>
      </c>
      <c r="K227" s="18"/>
      <c r="L227" s="19">
        <f>SUM(F227:K227)</f>
        <v>168989.4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2738826.9899999998</v>
      </c>
      <c r="G229" s="41">
        <f>SUM(G215:G228)</f>
        <v>1264570.9299999997</v>
      </c>
      <c r="H229" s="41">
        <f>SUM(H215:H228)</f>
        <v>1139363.9200000004</v>
      </c>
      <c r="I229" s="41">
        <f>SUM(I215:I228)</f>
        <v>213403.61</v>
      </c>
      <c r="J229" s="41">
        <f>SUM(J215:J228)</f>
        <v>58105.26</v>
      </c>
      <c r="K229" s="41">
        <f t="shared" si="3"/>
        <v>16514.439999999999</v>
      </c>
      <c r="L229" s="41">
        <f t="shared" si="3"/>
        <v>5430785.1500000013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1260105.47</v>
      </c>
      <c r="G233" s="18">
        <f>570279.78+18680.63</f>
        <v>588960.41</v>
      </c>
      <c r="H233" s="18">
        <f>5940+650.03</f>
        <v>6590.03</v>
      </c>
      <c r="I233" s="18">
        <v>46922.17</v>
      </c>
      <c r="J233" s="18">
        <v>4792.8900000000003</v>
      </c>
      <c r="K233" s="18">
        <v>3675</v>
      </c>
      <c r="L233" s="19">
        <f>SUM(F233:K233)</f>
        <v>1911045.9699999997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745719.15+114882.78</f>
        <v>860601.93</v>
      </c>
      <c r="G234" s="18">
        <f>352886.83+37822.19</f>
        <v>390709.02</v>
      </c>
      <c r="H234" s="18">
        <f>580025.14+6196.54</f>
        <v>586221.68000000005</v>
      </c>
      <c r="I234" s="18">
        <f>10671.64+615.11</f>
        <v>11286.75</v>
      </c>
      <c r="J234" s="18">
        <v>127.68</v>
      </c>
      <c r="K234" s="18">
        <v>7300.91</v>
      </c>
      <c r="L234" s="19">
        <f>SUM(F234:K234)</f>
        <v>1856247.9700000002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121603.38</v>
      </c>
      <c r="G235" s="18">
        <v>53010.68</v>
      </c>
      <c r="H235" s="18">
        <v>12467.9</v>
      </c>
      <c r="I235" s="18">
        <v>9739.7800000000007</v>
      </c>
      <c r="J235" s="18">
        <v>1089.75</v>
      </c>
      <c r="K235" s="18"/>
      <c r="L235" s="19">
        <f>SUM(F235:K235)</f>
        <v>197911.49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128245.37</v>
      </c>
      <c r="G236" s="18">
        <v>17148.98</v>
      </c>
      <c r="H236" s="18">
        <v>29937.27</v>
      </c>
      <c r="I236" s="18">
        <v>12501.73</v>
      </c>
      <c r="J236" s="18">
        <v>460</v>
      </c>
      <c r="K236" s="18">
        <v>8964.5</v>
      </c>
      <c r="L236" s="19">
        <f>SUM(F236:K236)</f>
        <v>197257.85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305531.22+317.05</f>
        <v>305848.26999999996</v>
      </c>
      <c r="G238" s="18">
        <f>158001.43+65.9</f>
        <v>158067.32999999999</v>
      </c>
      <c r="H238" s="18">
        <f>10689.24+8.1</f>
        <v>10697.34</v>
      </c>
      <c r="I238" s="18">
        <v>12766.59</v>
      </c>
      <c r="J238" s="18">
        <v>415.45</v>
      </c>
      <c r="K238" s="18">
        <v>110</v>
      </c>
      <c r="L238" s="19">
        <f t="shared" ref="L238:L244" si="4">SUM(F238:K238)</f>
        <v>487904.98000000004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55681.37+37332.97</f>
        <v>93014.34</v>
      </c>
      <c r="G239" s="18">
        <f>13059.29+10558.76</f>
        <v>23618.050000000003</v>
      </c>
      <c r="H239" s="18">
        <f>379+18459.34</f>
        <v>18838.34</v>
      </c>
      <c r="I239" s="18">
        <f>13333.54+1628.8</f>
        <v>14962.34</v>
      </c>
      <c r="J239" s="18"/>
      <c r="K239" s="18">
        <v>1378.08</v>
      </c>
      <c r="L239" s="19">
        <f t="shared" si="4"/>
        <v>151811.15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63721.29</v>
      </c>
      <c r="G240" s="18">
        <v>18529.849999999999</v>
      </c>
      <c r="H240" s="18">
        <v>19220.82</v>
      </c>
      <c r="I240" s="18">
        <v>33.979999999999997</v>
      </c>
      <c r="J240" s="18"/>
      <c r="K240" s="18">
        <v>2786.25</v>
      </c>
      <c r="L240" s="19">
        <f t="shared" si="4"/>
        <v>104292.18999999999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254697.82</v>
      </c>
      <c r="G241" s="18">
        <v>124206.35</v>
      </c>
      <c r="H241" s="18">
        <f>4725.5+3316.54</f>
        <v>8042.04</v>
      </c>
      <c r="I241" s="18">
        <v>1580.6</v>
      </c>
      <c r="J241" s="18"/>
      <c r="K241" s="18">
        <v>2791.25</v>
      </c>
      <c r="L241" s="19">
        <f t="shared" si="4"/>
        <v>391318.06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81892.490000000005</v>
      </c>
      <c r="G242" s="18">
        <v>38067.9</v>
      </c>
      <c r="H242" s="18">
        <v>25598.71</v>
      </c>
      <c r="I242" s="18">
        <v>1587.6</v>
      </c>
      <c r="J242" s="18">
        <v>361.94</v>
      </c>
      <c r="K242" s="18">
        <v>2977.79</v>
      </c>
      <c r="L242" s="19">
        <f t="shared" si="4"/>
        <v>150486.43000000002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99104.19+68859.27</f>
        <v>167963.46000000002</v>
      </c>
      <c r="G243" s="18">
        <f>35140.91+31558.58</f>
        <v>66699.490000000005</v>
      </c>
      <c r="H243" s="18">
        <f>97448.33+26386.39</f>
        <v>123834.72</v>
      </c>
      <c r="I243" s="18">
        <f>106925.65+1348.89</f>
        <v>108274.54</v>
      </c>
      <c r="J243" s="18">
        <f>11259.7+14806.26</f>
        <v>26065.96</v>
      </c>
      <c r="K243" s="18">
        <v>82.35</v>
      </c>
      <c r="L243" s="19">
        <f t="shared" si="4"/>
        <v>492920.52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179688.03+420426.57</f>
        <v>600114.6</v>
      </c>
      <c r="I244" s="18">
        <v>28755.3</v>
      </c>
      <c r="J244" s="18"/>
      <c r="K244" s="18"/>
      <c r="L244" s="19">
        <f t="shared" si="4"/>
        <v>628869.9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40476.1</v>
      </c>
      <c r="G245" s="18">
        <v>16581.830000000002</v>
      </c>
      <c r="H245" s="18">
        <v>62838.91</v>
      </c>
      <c r="I245" s="18">
        <f>6016.24+30527.27</f>
        <v>36543.51</v>
      </c>
      <c r="J245" s="18">
        <f>2269.89+38376.45</f>
        <v>40646.339999999997</v>
      </c>
      <c r="K245" s="18"/>
      <c r="L245" s="19">
        <f>SUM(F245:K245)</f>
        <v>197086.69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3378169.92</v>
      </c>
      <c r="G247" s="41">
        <f t="shared" si="5"/>
        <v>1495599.8900000004</v>
      </c>
      <c r="H247" s="41">
        <f t="shared" si="5"/>
        <v>1504402.3599999999</v>
      </c>
      <c r="I247" s="41">
        <f t="shared" si="5"/>
        <v>284954.88999999996</v>
      </c>
      <c r="J247" s="41">
        <f t="shared" si="5"/>
        <v>73960.009999999995</v>
      </c>
      <c r="K247" s="41">
        <f t="shared" si="5"/>
        <v>30066.129999999997</v>
      </c>
      <c r="L247" s="41">
        <f t="shared" si="5"/>
        <v>6767153.2000000002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2192814.7000000002</v>
      </c>
      <c r="I255" s="18"/>
      <c r="J255" s="18">
        <v>15492.64</v>
      </c>
      <c r="K255" s="18"/>
      <c r="L255" s="19">
        <f t="shared" si="6"/>
        <v>2208307.3400000003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2192814.7000000002</v>
      </c>
      <c r="I256" s="41">
        <f t="shared" si="7"/>
        <v>0</v>
      </c>
      <c r="J256" s="41">
        <f t="shared" si="7"/>
        <v>15492.64</v>
      </c>
      <c r="K256" s="41">
        <f t="shared" si="7"/>
        <v>0</v>
      </c>
      <c r="L256" s="41">
        <f>SUM(F256:K256)</f>
        <v>2208307.3400000003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11821315.659999998</v>
      </c>
      <c r="G257" s="41">
        <f t="shared" si="8"/>
        <v>5515178.4900000002</v>
      </c>
      <c r="H257" s="41">
        <f t="shared" si="8"/>
        <v>5959787.2400000002</v>
      </c>
      <c r="I257" s="41">
        <f t="shared" si="8"/>
        <v>911450</v>
      </c>
      <c r="J257" s="41">
        <f t="shared" si="8"/>
        <v>262580.19</v>
      </c>
      <c r="K257" s="41">
        <f t="shared" si="8"/>
        <v>75993.69</v>
      </c>
      <c r="L257" s="41">
        <f t="shared" si="8"/>
        <v>24546305.270000003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615000</v>
      </c>
      <c r="L260" s="19">
        <f>SUM(F260:K260)</f>
        <v>615000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136590.21</v>
      </c>
      <c r="L261" s="19">
        <f>SUM(F261:K261)</f>
        <v>136590.21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17500</v>
      </c>
      <c r="L263" s="19">
        <f>SUM(F263:K263)</f>
        <v>17500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769090.21</v>
      </c>
      <c r="L270" s="41">
        <f t="shared" si="9"/>
        <v>769090.21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11821315.659999998</v>
      </c>
      <c r="G271" s="42">
        <f t="shared" si="11"/>
        <v>5515178.4900000002</v>
      </c>
      <c r="H271" s="42">
        <f t="shared" si="11"/>
        <v>5959787.2400000002</v>
      </c>
      <c r="I271" s="42">
        <f t="shared" si="11"/>
        <v>911450</v>
      </c>
      <c r="J271" s="42">
        <f t="shared" si="11"/>
        <v>262580.19</v>
      </c>
      <c r="K271" s="42">
        <f t="shared" si="11"/>
        <v>845083.89999999991</v>
      </c>
      <c r="L271" s="42">
        <f t="shared" si="11"/>
        <v>25315395.480000004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196944.25</v>
      </c>
      <c r="G276" s="18">
        <v>102487.53</v>
      </c>
      <c r="H276" s="18"/>
      <c r="I276" s="18">
        <v>61.38</v>
      </c>
      <c r="J276" s="18"/>
      <c r="K276" s="18"/>
      <c r="L276" s="19">
        <f>SUM(F276:K276)</f>
        <v>299493.16000000003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64373.06</f>
        <v>64373.06</v>
      </c>
      <c r="G277" s="18">
        <v>24588.48</v>
      </c>
      <c r="H277" s="18"/>
      <c r="I277" s="18">
        <v>1509.64</v>
      </c>
      <c r="J277" s="18">
        <f>2519.19+0.01</f>
        <v>2519.2000000000003</v>
      </c>
      <c r="K277" s="18"/>
      <c r="L277" s="19">
        <f>SUM(F277:K277)</f>
        <v>92990.37999999999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1218</v>
      </c>
      <c r="G279" s="18">
        <v>304.64</v>
      </c>
      <c r="H279" s="18">
        <v>1361.75</v>
      </c>
      <c r="I279" s="18"/>
      <c r="J279" s="18"/>
      <c r="K279" s="18"/>
      <c r="L279" s="19">
        <f>SUM(F279:K279)</f>
        <v>2884.39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17592.37</v>
      </c>
      <c r="G281" s="18">
        <v>9941.92</v>
      </c>
      <c r="H281" s="18"/>
      <c r="I281" s="18">
        <v>1568.05</v>
      </c>
      <c r="J281" s="18"/>
      <c r="K281" s="18"/>
      <c r="L281" s="19">
        <f t="shared" ref="L281:L287" si="12">SUM(F281:K281)</f>
        <v>29102.34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25307.17</v>
      </c>
      <c r="G282" s="18">
        <v>8500.7099999999991</v>
      </c>
      <c r="H282" s="18">
        <v>75544.45</v>
      </c>
      <c r="I282" s="18">
        <v>1495.24</v>
      </c>
      <c r="J282" s="18"/>
      <c r="K282" s="18"/>
      <c r="L282" s="19">
        <f t="shared" si="12"/>
        <v>110847.56999999999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305434.84999999998</v>
      </c>
      <c r="G290" s="42">
        <f t="shared" si="13"/>
        <v>145823.28</v>
      </c>
      <c r="H290" s="42">
        <f t="shared" si="13"/>
        <v>76906.2</v>
      </c>
      <c r="I290" s="42">
        <f t="shared" si="13"/>
        <v>4634.3100000000004</v>
      </c>
      <c r="J290" s="42">
        <f t="shared" si="13"/>
        <v>2519.2000000000003</v>
      </c>
      <c r="K290" s="42">
        <f t="shared" si="13"/>
        <v>0</v>
      </c>
      <c r="L290" s="41">
        <f t="shared" si="13"/>
        <v>535317.84000000008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13513.65</v>
      </c>
      <c r="G296" s="18">
        <v>4865.3999999999996</v>
      </c>
      <c r="H296" s="18"/>
      <c r="I296" s="18"/>
      <c r="J296" s="18">
        <v>948.41</v>
      </c>
      <c r="K296" s="18"/>
      <c r="L296" s="19">
        <f>SUM(F296:K296)</f>
        <v>19327.46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>
        <v>695.97</v>
      </c>
      <c r="J300" s="18"/>
      <c r="K300" s="18"/>
      <c r="L300" s="19">
        <f t="shared" ref="L300:L306" si="14">SUM(F300:K300)</f>
        <v>695.97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12395.35</v>
      </c>
      <c r="G301" s="18">
        <v>4163.6099999999997</v>
      </c>
      <c r="H301" s="18">
        <v>37001.360000000001</v>
      </c>
      <c r="I301" s="18">
        <v>732.36</v>
      </c>
      <c r="J301" s="18"/>
      <c r="K301" s="18"/>
      <c r="L301" s="19">
        <f t="shared" si="14"/>
        <v>54292.68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25909</v>
      </c>
      <c r="G309" s="42">
        <f t="shared" si="15"/>
        <v>9029.0099999999984</v>
      </c>
      <c r="H309" s="42">
        <f t="shared" si="15"/>
        <v>37001.360000000001</v>
      </c>
      <c r="I309" s="42">
        <f t="shared" si="15"/>
        <v>1428.33</v>
      </c>
      <c r="J309" s="42">
        <f t="shared" si="15"/>
        <v>948.41</v>
      </c>
      <c r="K309" s="42">
        <f t="shared" si="15"/>
        <v>0</v>
      </c>
      <c r="L309" s="41">
        <f t="shared" si="15"/>
        <v>74316.11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f>59596.6</f>
        <v>59596.6</v>
      </c>
      <c r="G315" s="18">
        <v>38883.49</v>
      </c>
      <c r="H315" s="18"/>
      <c r="I315" s="18"/>
      <c r="J315" s="18">
        <v>2062.23</v>
      </c>
      <c r="K315" s="18"/>
      <c r="L315" s="19">
        <f>SUM(F315:K315)</f>
        <v>100542.31999999999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>
        <v>782.97</v>
      </c>
      <c r="J319" s="18"/>
      <c r="K319" s="18"/>
      <c r="L319" s="19">
        <f t="shared" ref="L319:L325" si="16">SUM(F319:K319)</f>
        <v>782.97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16419.77-0.01</f>
        <v>16419.760000000002</v>
      </c>
      <c r="G320" s="18">
        <v>5292.81</v>
      </c>
      <c r="H320" s="18">
        <f>41626.53+0.01</f>
        <v>41626.54</v>
      </c>
      <c r="I320" s="18">
        <f>823.91-0.01</f>
        <v>823.9</v>
      </c>
      <c r="J320" s="18"/>
      <c r="K320" s="18"/>
      <c r="L320" s="19">
        <f t="shared" si="16"/>
        <v>64163.01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76016.36</v>
      </c>
      <c r="G328" s="42">
        <f t="shared" si="17"/>
        <v>44176.299999999996</v>
      </c>
      <c r="H328" s="42">
        <f t="shared" si="17"/>
        <v>41626.54</v>
      </c>
      <c r="I328" s="42">
        <f t="shared" si="17"/>
        <v>1606.87</v>
      </c>
      <c r="J328" s="42">
        <f t="shared" si="17"/>
        <v>2062.23</v>
      </c>
      <c r="K328" s="42">
        <f t="shared" si="17"/>
        <v>0</v>
      </c>
      <c r="L328" s="41">
        <f t="shared" si="17"/>
        <v>165488.29999999999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407360.20999999996</v>
      </c>
      <c r="G338" s="41">
        <f t="shared" si="20"/>
        <v>199028.59</v>
      </c>
      <c r="H338" s="41">
        <f t="shared" si="20"/>
        <v>155534.1</v>
      </c>
      <c r="I338" s="41">
        <f t="shared" si="20"/>
        <v>7669.51</v>
      </c>
      <c r="J338" s="41">
        <f t="shared" si="20"/>
        <v>5529.84</v>
      </c>
      <c r="K338" s="41">
        <f t="shared" si="20"/>
        <v>0</v>
      </c>
      <c r="L338" s="41">
        <f t="shared" si="20"/>
        <v>775122.25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15118</v>
      </c>
      <c r="L344" s="19">
        <f t="shared" ref="L344:L350" si="21">SUM(F344:K344)</f>
        <v>15118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15118</v>
      </c>
      <c r="L351" s="41">
        <f>SUM(L341:L350)</f>
        <v>15118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407360.20999999996</v>
      </c>
      <c r="G352" s="41">
        <f>G338</f>
        <v>199028.59</v>
      </c>
      <c r="H352" s="41">
        <f>H338</f>
        <v>155534.1</v>
      </c>
      <c r="I352" s="41">
        <f>I338</f>
        <v>7669.51</v>
      </c>
      <c r="J352" s="41">
        <f>J338</f>
        <v>5529.84</v>
      </c>
      <c r="K352" s="47">
        <f>K338+K351</f>
        <v>15118</v>
      </c>
      <c r="L352" s="41">
        <f>L338+L351</f>
        <v>790240.25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1209.08-0.01</f>
        <v>1209.07</v>
      </c>
      <c r="G358" s="18">
        <v>92.51</v>
      </c>
      <c r="H358" s="18">
        <f>245002.09+0.01</f>
        <v>245002.1</v>
      </c>
      <c r="I358" s="18">
        <f>629.16+0.01</f>
        <v>629.16999999999996</v>
      </c>
      <c r="J358" s="18"/>
      <c r="K358" s="18">
        <v>92.12</v>
      </c>
      <c r="L358" s="13">
        <f>SUM(F358:K358)</f>
        <v>247024.97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592.20000000000005</v>
      </c>
      <c r="G359" s="18">
        <v>45.31</v>
      </c>
      <c r="H359" s="18">
        <v>120001.02</v>
      </c>
      <c r="I359" s="18">
        <v>308.16000000000003</v>
      </c>
      <c r="J359" s="18"/>
      <c r="K359" s="18">
        <v>45.12</v>
      </c>
      <c r="L359" s="19">
        <f>SUM(F359:K359)</f>
        <v>120991.81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666.23</v>
      </c>
      <c r="G360" s="18">
        <v>50.97</v>
      </c>
      <c r="H360" s="18">
        <v>135001.15</v>
      </c>
      <c r="I360" s="18">
        <v>346.68</v>
      </c>
      <c r="J360" s="18"/>
      <c r="K360" s="18">
        <v>50.76</v>
      </c>
      <c r="L360" s="19">
        <f>SUM(F360:K360)</f>
        <v>136115.79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2467.5</v>
      </c>
      <c r="G362" s="47">
        <f t="shared" si="22"/>
        <v>188.79</v>
      </c>
      <c r="H362" s="47">
        <f t="shared" si="22"/>
        <v>500004.27</v>
      </c>
      <c r="I362" s="47">
        <f t="shared" si="22"/>
        <v>1284.01</v>
      </c>
      <c r="J362" s="47">
        <f t="shared" si="22"/>
        <v>0</v>
      </c>
      <c r="K362" s="47">
        <f t="shared" si="22"/>
        <v>188</v>
      </c>
      <c r="L362" s="47">
        <f t="shared" si="22"/>
        <v>504132.57000000007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629.16+0.01</f>
        <v>629.16999999999996</v>
      </c>
      <c r="G368" s="63">
        <v>308.16000000000003</v>
      </c>
      <c r="H368" s="63">
        <v>346.68</v>
      </c>
      <c r="I368" s="56">
        <f>SUM(F368:H368)</f>
        <v>1284.01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629.16999999999996</v>
      </c>
      <c r="G369" s="47">
        <f>SUM(G367:G368)</f>
        <v>308.16000000000003</v>
      </c>
      <c r="H369" s="47">
        <f>SUM(H367:H368)</f>
        <v>346.68</v>
      </c>
      <c r="I369" s="47">
        <f>SUM(I367:I368)</f>
        <v>1284.01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4301.7700000000004</v>
      </c>
      <c r="I389" s="18"/>
      <c r="J389" s="24" t="s">
        <v>286</v>
      </c>
      <c r="K389" s="24" t="s">
        <v>286</v>
      </c>
      <c r="L389" s="56">
        <f t="shared" si="25"/>
        <v>4301.7700000000004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4301.7700000000004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4301.7700000000004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3733.72</v>
      </c>
      <c r="I397" s="18"/>
      <c r="J397" s="24" t="s">
        <v>286</v>
      </c>
      <c r="K397" s="24" t="s">
        <v>286</v>
      </c>
      <c r="L397" s="56">
        <f t="shared" si="26"/>
        <v>3733.72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41791.949999999997</v>
      </c>
      <c r="I400" s="18">
        <v>16.96</v>
      </c>
      <c r="J400" s="24" t="s">
        <v>286</v>
      </c>
      <c r="K400" s="24" t="s">
        <v>286</v>
      </c>
      <c r="L400" s="56">
        <f t="shared" si="26"/>
        <v>41808.909999999996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45525.67</v>
      </c>
      <c r="I401" s="47">
        <f>SUM(I395:I400)</f>
        <v>16.96</v>
      </c>
      <c r="J401" s="45" t="s">
        <v>286</v>
      </c>
      <c r="K401" s="45" t="s">
        <v>286</v>
      </c>
      <c r="L401" s="47">
        <f>SUM(L395:L400)</f>
        <v>45542.63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 t="s">
        <v>912</v>
      </c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>
        <v>40409.14</v>
      </c>
      <c r="I403" s="18">
        <v>16.48</v>
      </c>
      <c r="J403" s="24" t="s">
        <v>286</v>
      </c>
      <c r="K403" s="24" t="s">
        <v>286</v>
      </c>
      <c r="L403" s="56">
        <f>SUM(F403:K403)</f>
        <v>40425.620000000003</v>
      </c>
      <c r="M403" s="8"/>
      <c r="N403" s="272"/>
    </row>
    <row r="404" spans="1:35" s="3" customFormat="1" ht="12.2" customHeight="1" x14ac:dyDescent="0.15">
      <c r="A404" s="110" t="s">
        <v>913</v>
      </c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>
        <v>1018.44</v>
      </c>
      <c r="I404" s="18">
        <v>0.42</v>
      </c>
      <c r="J404" s="24" t="s">
        <v>286</v>
      </c>
      <c r="K404" s="24" t="s">
        <v>286</v>
      </c>
      <c r="L404" s="56">
        <f>SUM(F404:K404)</f>
        <v>1018.86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41427.58</v>
      </c>
      <c r="I407" s="47">
        <f>SUM(I403:I406)</f>
        <v>16.900000000000002</v>
      </c>
      <c r="J407" s="49" t="s">
        <v>286</v>
      </c>
      <c r="K407" s="49" t="s">
        <v>286</v>
      </c>
      <c r="L407" s="47">
        <f>SUM(L403:L406)</f>
        <v>41444.480000000003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91255.02</v>
      </c>
      <c r="I408" s="47">
        <f>I393+I401+I407</f>
        <v>33.86</v>
      </c>
      <c r="J408" s="24" t="s">
        <v>286</v>
      </c>
      <c r="K408" s="24" t="s">
        <v>286</v>
      </c>
      <c r="L408" s="47">
        <f>L393+L401+L407</f>
        <v>91288.88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>
        <f>231982.4+2095.04</f>
        <v>234077.44</v>
      </c>
      <c r="I415" s="18"/>
      <c r="J415" s="18"/>
      <c r="K415" s="18"/>
      <c r="L415" s="56">
        <f t="shared" si="27"/>
        <v>234077.44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234077.44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234077.44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>
        <v>1949.62</v>
      </c>
      <c r="I423" s="18"/>
      <c r="J423" s="18"/>
      <c r="K423" s="18"/>
      <c r="L423" s="56">
        <f t="shared" si="29"/>
        <v>1949.62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>
        <v>8859.9699999999993</v>
      </c>
      <c r="I426" s="18">
        <v>529</v>
      </c>
      <c r="J426" s="18">
        <v>17616.560000000001</v>
      </c>
      <c r="K426" s="18"/>
      <c r="L426" s="56">
        <f t="shared" si="29"/>
        <v>27005.53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10809.59</v>
      </c>
      <c r="I427" s="47">
        <f t="shared" si="30"/>
        <v>529</v>
      </c>
      <c r="J427" s="47">
        <f t="shared" si="30"/>
        <v>17616.560000000001</v>
      </c>
      <c r="K427" s="47">
        <f t="shared" si="30"/>
        <v>0</v>
      </c>
      <c r="L427" s="47">
        <f t="shared" si="30"/>
        <v>28955.149999999998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 t="s">
        <v>912</v>
      </c>
      <c r="B429" s="6">
        <v>17</v>
      </c>
      <c r="C429" s="6">
        <v>15</v>
      </c>
      <c r="D429" s="2" t="s">
        <v>430</v>
      </c>
      <c r="E429" s="6"/>
      <c r="F429" s="18"/>
      <c r="G429" s="18"/>
      <c r="H429" s="18">
        <f>17600+8497.4</f>
        <v>26097.4</v>
      </c>
      <c r="I429" s="18"/>
      <c r="J429" s="18"/>
      <c r="K429" s="18"/>
      <c r="L429" s="56">
        <f>SUM(F429:K429)</f>
        <v>26097.4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 t="s">
        <v>913</v>
      </c>
      <c r="B430" s="6">
        <v>17</v>
      </c>
      <c r="C430" s="6">
        <v>16</v>
      </c>
      <c r="D430" s="2" t="s">
        <v>430</v>
      </c>
      <c r="E430" s="6"/>
      <c r="F430" s="18"/>
      <c r="G430" s="18"/>
      <c r="H430" s="18">
        <v>213.96</v>
      </c>
      <c r="I430" s="18"/>
      <c r="J430" s="18"/>
      <c r="K430" s="18"/>
      <c r="L430" s="56">
        <f>SUM(F430:K430)</f>
        <v>213.96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26311.360000000001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26311.360000000001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271198.39</v>
      </c>
      <c r="I434" s="47">
        <f t="shared" si="32"/>
        <v>529</v>
      </c>
      <c r="J434" s="47">
        <f t="shared" si="32"/>
        <v>17616.560000000001</v>
      </c>
      <c r="K434" s="47">
        <f t="shared" si="32"/>
        <v>0</v>
      </c>
      <c r="L434" s="47">
        <f t="shared" si="32"/>
        <v>289343.95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120665.39</v>
      </c>
      <c r="G440" s="18">
        <f>1416774.5-120665.39</f>
        <v>1296109.1100000001</v>
      </c>
      <c r="H440" s="18">
        <v>969068.74</v>
      </c>
      <c r="I440" s="56">
        <f t="shared" si="33"/>
        <v>2385843.2400000002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120665.39</v>
      </c>
      <c r="G446" s="13">
        <f>SUM(G439:G445)</f>
        <v>1296109.1100000001</v>
      </c>
      <c r="H446" s="13">
        <f>SUM(H439:H445)</f>
        <v>969068.74</v>
      </c>
      <c r="I446" s="13">
        <f>SUM(I439:I445)</f>
        <v>2385843.2400000002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>
        <v>17616.560000000001</v>
      </c>
      <c r="H449" s="18"/>
      <c r="I449" s="56">
        <f>SUM(F449:H449)</f>
        <v>17616.560000000001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17616.560000000001</v>
      </c>
      <c r="H452" s="72">
        <f>SUM(H448:H451)</f>
        <v>0</v>
      </c>
      <c r="I452" s="72">
        <f>SUM(I448:I451)</f>
        <v>17616.560000000001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120665.39</v>
      </c>
      <c r="G456" s="18">
        <f>1296109.11-17616.56</f>
        <v>1278492.55</v>
      </c>
      <c r="H456" s="18">
        <v>969068.74</v>
      </c>
      <c r="I456" s="56">
        <f t="shared" si="34"/>
        <v>2368226.6799999997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120665.39</v>
      </c>
      <c r="G460" s="83">
        <f>SUM(G454:G459)</f>
        <v>1278492.55</v>
      </c>
      <c r="H460" s="83">
        <f>SUM(H454:H459)</f>
        <v>969068.74</v>
      </c>
      <c r="I460" s="83">
        <f>SUM(I454:I459)</f>
        <v>2368226.6799999997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120665.39</v>
      </c>
      <c r="G461" s="42">
        <f>G452+G460</f>
        <v>1296109.1100000001</v>
      </c>
      <c r="H461" s="42">
        <f>H452+H460</f>
        <v>969068.74</v>
      </c>
      <c r="I461" s="42">
        <f>I452+I460</f>
        <v>2385843.2399999998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1036847.39</v>
      </c>
      <c r="G465" s="18">
        <v>29891.23</v>
      </c>
      <c r="H465" s="18">
        <v>7118</v>
      </c>
      <c r="I465" s="18">
        <v>0</v>
      </c>
      <c r="J465" s="18">
        <v>2566281.75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25856271.399999999</v>
      </c>
      <c r="G468" s="18">
        <v>504955.03</v>
      </c>
      <c r="H468" s="18">
        <f>783122.25</f>
        <v>783122.25</v>
      </c>
      <c r="I468" s="18"/>
      <c r="J468" s="18">
        <v>91288.88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25856271.399999999</v>
      </c>
      <c r="G470" s="53">
        <f>SUM(G468:G469)</f>
        <v>504955.03</v>
      </c>
      <c r="H470" s="53">
        <f>SUM(H468:H469)</f>
        <v>783122.25</v>
      </c>
      <c r="I470" s="53">
        <f>SUM(I468:I469)</f>
        <v>0</v>
      </c>
      <c r="J470" s="53">
        <f>SUM(J468:J469)</f>
        <v>91288.88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25315395.48</v>
      </c>
      <c r="G472" s="18">
        <v>504132.57</v>
      </c>
      <c r="H472" s="18">
        <f>783122.25+7118</f>
        <v>790240.25</v>
      </c>
      <c r="I472" s="18"/>
      <c r="J472" s="18">
        <v>289343.95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25315395.48</v>
      </c>
      <c r="G474" s="53">
        <f>SUM(G472:G473)</f>
        <v>504132.57</v>
      </c>
      <c r="H474" s="53">
        <f>SUM(H472:H473)</f>
        <v>790240.25</v>
      </c>
      <c r="I474" s="53">
        <f>SUM(I472:I473)</f>
        <v>0</v>
      </c>
      <c r="J474" s="53">
        <f>SUM(J472:J473)</f>
        <v>289343.95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1577723.3099999987</v>
      </c>
      <c r="G476" s="53">
        <f>(G465+G470)- G474</f>
        <v>30713.690000000002</v>
      </c>
      <c r="H476" s="53">
        <f>(H465+H470)- H474</f>
        <v>0</v>
      </c>
      <c r="I476" s="53">
        <f>(I465+I470)- I474</f>
        <v>0</v>
      </c>
      <c r="J476" s="53">
        <f>(J465+J470)- J474</f>
        <v>2368226.6799999997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15</v>
      </c>
      <c r="G490" s="154">
        <v>10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915</v>
      </c>
      <c r="G491" s="155" t="s">
        <v>916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 t="s">
        <v>917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9247684</v>
      </c>
      <c r="G493" s="18">
        <v>1446400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</v>
      </c>
      <c r="G494" s="18">
        <v>5.0999999999999996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f>3690000-615000</f>
        <v>3075000</v>
      </c>
      <c r="G495" s="18">
        <v>0</v>
      </c>
      <c r="H495" s="18"/>
      <c r="I495" s="18"/>
      <c r="J495" s="18"/>
      <c r="K495" s="53">
        <f>SUM(F495:J495)</f>
        <v>3075000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1446400</v>
      </c>
      <c r="H496" s="18"/>
      <c r="I496" s="18"/>
      <c r="J496" s="18"/>
      <c r="K496" s="53">
        <f t="shared" ref="K496:K503" si="35">SUM(F496:J496)</f>
        <v>1446400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615000</v>
      </c>
      <c r="G497" s="18">
        <v>0</v>
      </c>
      <c r="H497" s="18"/>
      <c r="I497" s="18"/>
      <c r="J497" s="18"/>
      <c r="K497" s="53">
        <f t="shared" si="35"/>
        <v>615000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2460000</v>
      </c>
      <c r="G498" s="204">
        <v>1446400</v>
      </c>
      <c r="H498" s="204"/>
      <c r="I498" s="204"/>
      <c r="J498" s="204"/>
      <c r="K498" s="205">
        <f t="shared" si="35"/>
        <v>3906400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120474.26</v>
      </c>
      <c r="G499" s="18">
        <f>413098.41-43440.21</f>
        <v>369658.19999999995</v>
      </c>
      <c r="H499" s="18"/>
      <c r="I499" s="18"/>
      <c r="J499" s="18"/>
      <c r="K499" s="53">
        <f t="shared" si="35"/>
        <v>490132.45999999996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2580474.2599999998</v>
      </c>
      <c r="G500" s="42">
        <f>SUM(G498:G499)</f>
        <v>1816058.2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4396532.46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615000</v>
      </c>
      <c r="G501" s="204">
        <v>141400</v>
      </c>
      <c r="H501" s="204"/>
      <c r="I501" s="204"/>
      <c r="J501" s="204"/>
      <c r="K501" s="205">
        <f t="shared" si="35"/>
        <v>756400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32005.5+43050</f>
        <v>75055.5</v>
      </c>
      <c r="G502" s="18">
        <f>36883.2+33277.5</f>
        <v>70160.7</v>
      </c>
      <c r="H502" s="18"/>
      <c r="I502" s="18"/>
      <c r="J502" s="18"/>
      <c r="K502" s="53">
        <f t="shared" si="35"/>
        <v>145216.20000000001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690055.5</v>
      </c>
      <c r="G503" s="42">
        <f>SUM(G501:G502)</f>
        <v>211560.7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901616.2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1317884.81</v>
      </c>
      <c r="G507" s="144">
        <v>76367.55</v>
      </c>
      <c r="H507" s="144"/>
      <c r="I507" s="144">
        <v>1394252.36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>
        <v>750120.15</v>
      </c>
      <c r="G511" s="24" t="s">
        <v>286</v>
      </c>
      <c r="H511" s="18">
        <v>750120.15</v>
      </c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>
        <v>222220.4</v>
      </c>
      <c r="G512" s="24" t="s">
        <v>286</v>
      </c>
      <c r="H512" s="18">
        <v>222220.4</v>
      </c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>
        <v>26127892.239999998</v>
      </c>
      <c r="G513" s="24" t="s">
        <v>286</v>
      </c>
      <c r="H513" s="18">
        <f>27992252.94+248847</f>
        <v>28241099.940000001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>
        <v>1301507.96</v>
      </c>
      <c r="G514" s="24" t="s">
        <v>286</v>
      </c>
      <c r="H514" s="18">
        <f>515146.09+657333.39+221404.04</f>
        <v>1393883.52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>
        <v>0</v>
      </c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>
        <v>28401740.75</v>
      </c>
      <c r="H516" s="24" t="s">
        <v>286</v>
      </c>
      <c r="I516" s="18">
        <v>30607324.010000002</v>
      </c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28401740.75</v>
      </c>
      <c r="G517" s="42">
        <f>SUM(G511:G516)</f>
        <v>28401740.75</v>
      </c>
      <c r="H517" s="42">
        <f>SUM(H511:H516)</f>
        <v>30607324.010000002</v>
      </c>
      <c r="I517" s="42">
        <f>SUM(I511:I516)</f>
        <v>30607324.010000002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1199152.79+25038.28+39334.78</f>
        <v>1263525.8500000001</v>
      </c>
      <c r="G521" s="18">
        <f>597325.26+9311.43+15277.05</f>
        <v>621913.74000000011</v>
      </c>
      <c r="H521" s="18">
        <f>117157.23</f>
        <v>117157.23</v>
      </c>
      <c r="I521" s="18">
        <f>12349.87+1509.64</f>
        <v>13859.51</v>
      </c>
      <c r="J521" s="18">
        <f>1706.29+1936.34+582.85</f>
        <v>4225.4800000000005</v>
      </c>
      <c r="K521" s="18"/>
      <c r="L521" s="88">
        <f>SUM(F521:K521)</f>
        <v>2020681.8100000003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482343.94+12263.65+1250</f>
        <v>495857.59</v>
      </c>
      <c r="G522" s="18">
        <f>257893.6+4560.7+304.7</f>
        <v>262759</v>
      </c>
      <c r="H522" s="18">
        <f>570961.68</f>
        <v>570961.68000000005</v>
      </c>
      <c r="I522" s="18">
        <f>6084.91</f>
        <v>6084.91</v>
      </c>
      <c r="J522" s="18">
        <f>794.85+948.41</f>
        <v>1743.26</v>
      </c>
      <c r="K522" s="18"/>
      <c r="L522" s="88">
        <f>SUM(F522:K522)</f>
        <v>1337406.44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751299.22+13796.6+45800</f>
        <v>810895.82</v>
      </c>
      <c r="G523" s="18">
        <f>353964.15+5130.79+33752.7</f>
        <v>392847.64</v>
      </c>
      <c r="H523" s="18">
        <f>580025.14</f>
        <v>580025.14</v>
      </c>
      <c r="I523" s="18">
        <f>10671.64</f>
        <v>10671.64</v>
      </c>
      <c r="J523" s="18">
        <f>127.68+1066.96+995.27</f>
        <v>2189.91</v>
      </c>
      <c r="K523" s="18"/>
      <c r="L523" s="88">
        <f>SUM(F523:K523)</f>
        <v>1796630.15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2570279.2600000002</v>
      </c>
      <c r="G524" s="108">
        <f t="shared" ref="G524:L524" si="36">SUM(G521:G523)</f>
        <v>1277520.3800000001</v>
      </c>
      <c r="H524" s="108">
        <f t="shared" si="36"/>
        <v>1268144.05</v>
      </c>
      <c r="I524" s="108">
        <f t="shared" si="36"/>
        <v>30616.059999999998</v>
      </c>
      <c r="J524" s="108">
        <f t="shared" si="36"/>
        <v>8158.6500000000005</v>
      </c>
      <c r="K524" s="108">
        <f t="shared" si="36"/>
        <v>0</v>
      </c>
      <c r="L524" s="89">
        <f t="shared" si="36"/>
        <v>5154718.4000000004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126531.68+10628.97</f>
        <v>137160.65</v>
      </c>
      <c r="G526" s="18">
        <f>67814.22+5012.85</f>
        <v>72827.070000000007</v>
      </c>
      <c r="H526" s="18">
        <f>43413.06+47671.93</f>
        <v>91084.989999999991</v>
      </c>
      <c r="I526" s="18">
        <f>8219.82+1420.95+147.1</f>
        <v>9787.8700000000008</v>
      </c>
      <c r="J526" s="18"/>
      <c r="K526" s="18">
        <f>3920</f>
        <v>3920</v>
      </c>
      <c r="L526" s="88">
        <f>SUM(F526:K526)</f>
        <v>314780.57999999996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126520.68+5206.03</f>
        <v>131726.71</v>
      </c>
      <c r="G527" s="18">
        <f>67808.63+2455.27</f>
        <v>70263.900000000009</v>
      </c>
      <c r="H527" s="18">
        <f>9382.58+23349.52</f>
        <v>32732.1</v>
      </c>
      <c r="I527" s="18">
        <f>2375.6+695.97</f>
        <v>3071.5699999999997</v>
      </c>
      <c r="J527" s="18"/>
      <c r="K527" s="18">
        <f>1920</f>
        <v>1920</v>
      </c>
      <c r="L527" s="88">
        <f>SUM(F527:K527)</f>
        <v>239714.28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135728.22+5856.78+2475</f>
        <v>144060</v>
      </c>
      <c r="G528" s="18">
        <f>73466.12+2762.18+608.75</f>
        <v>76837.049999999988</v>
      </c>
      <c r="H528" s="18">
        <f>9382.58+26268.21</f>
        <v>35650.79</v>
      </c>
      <c r="I528" s="18">
        <f>3422.36+782.97</f>
        <v>4205.33</v>
      </c>
      <c r="J528" s="18">
        <f>1215.35</f>
        <v>1215.3499999999999</v>
      </c>
      <c r="K528" s="18">
        <f>2160</f>
        <v>2160</v>
      </c>
      <c r="L528" s="88">
        <f>SUM(F528:K528)</f>
        <v>264128.52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412947.36</v>
      </c>
      <c r="G529" s="89">
        <f t="shared" ref="G529:L529" si="37">SUM(G526:G528)</f>
        <v>219928.02000000002</v>
      </c>
      <c r="H529" s="89">
        <f t="shared" si="37"/>
        <v>159467.88</v>
      </c>
      <c r="I529" s="89">
        <f t="shared" si="37"/>
        <v>17064.77</v>
      </c>
      <c r="J529" s="89">
        <f t="shared" si="37"/>
        <v>1215.3499999999999</v>
      </c>
      <c r="K529" s="89">
        <f t="shared" si="37"/>
        <v>8000</v>
      </c>
      <c r="L529" s="89">
        <f t="shared" si="37"/>
        <v>818623.38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173291.09</v>
      </c>
      <c r="G531" s="18">
        <v>65718.070000000007</v>
      </c>
      <c r="H531" s="18">
        <v>9933.64</v>
      </c>
      <c r="I531" s="18">
        <v>825.96</v>
      </c>
      <c r="J531" s="18"/>
      <c r="K531" s="18">
        <v>12414.34</v>
      </c>
      <c r="L531" s="88">
        <f>SUM(F531:K531)</f>
        <v>262183.09999999998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84877.27</v>
      </c>
      <c r="G532" s="18">
        <v>32188.44</v>
      </c>
      <c r="H532" s="18">
        <v>4865.46</v>
      </c>
      <c r="I532" s="18">
        <v>404.55</v>
      </c>
      <c r="J532" s="18"/>
      <c r="K532" s="18">
        <v>6080.49</v>
      </c>
      <c r="L532" s="88">
        <f>SUM(F532:K532)</f>
        <v>128416.21000000002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95486.93</v>
      </c>
      <c r="G533" s="18">
        <v>36212</v>
      </c>
      <c r="H533" s="18">
        <v>5473.64</v>
      </c>
      <c r="I533" s="18">
        <v>455.12</v>
      </c>
      <c r="J533" s="18"/>
      <c r="K533" s="18">
        <v>6840.56</v>
      </c>
      <c r="L533" s="88">
        <f>SUM(F533:K533)</f>
        <v>144468.25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353655.29</v>
      </c>
      <c r="G534" s="89">
        <f t="shared" ref="G534:L534" si="38">SUM(G531:G533)</f>
        <v>134118.51</v>
      </c>
      <c r="H534" s="89">
        <f t="shared" si="38"/>
        <v>20272.739999999998</v>
      </c>
      <c r="I534" s="89">
        <f t="shared" si="38"/>
        <v>1685.63</v>
      </c>
      <c r="J534" s="89">
        <f t="shared" si="38"/>
        <v>0</v>
      </c>
      <c r="K534" s="89">
        <f t="shared" si="38"/>
        <v>25335.390000000003</v>
      </c>
      <c r="L534" s="89">
        <f t="shared" si="38"/>
        <v>535067.56000000006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343.7</v>
      </c>
      <c r="I536" s="18"/>
      <c r="J536" s="18"/>
      <c r="K536" s="18"/>
      <c r="L536" s="88">
        <f>SUM(F536:K536)</f>
        <v>343.7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168.34</v>
      </c>
      <c r="I537" s="18"/>
      <c r="J537" s="18"/>
      <c r="K537" s="18"/>
      <c r="L537" s="88">
        <f>SUM(F537:K537)</f>
        <v>168.34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189.39</v>
      </c>
      <c r="I538" s="18"/>
      <c r="J538" s="18"/>
      <c r="K538" s="18"/>
      <c r="L538" s="88">
        <f>SUM(F538:K538)</f>
        <v>189.39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701.43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701.43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f>168902</f>
        <v>168902</v>
      </c>
      <c r="I541" s="18"/>
      <c r="J541" s="18"/>
      <c r="K541" s="18"/>
      <c r="L541" s="88">
        <f>SUM(F541:K541)</f>
        <v>168902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f>90559.97</f>
        <v>90559.97</v>
      </c>
      <c r="I542" s="18"/>
      <c r="J542" s="18"/>
      <c r="K542" s="18"/>
      <c r="L542" s="88">
        <f>SUM(F542:K542)</f>
        <v>90559.97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f>256232.07</f>
        <v>256232.07</v>
      </c>
      <c r="I543" s="18"/>
      <c r="J543" s="18"/>
      <c r="K543" s="18"/>
      <c r="L543" s="88">
        <f>SUM(F543:K543)</f>
        <v>256232.07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515694.04000000004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515694.04000000004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3336881.91</v>
      </c>
      <c r="G545" s="89">
        <f t="shared" ref="G545:L545" si="41">G524+G529+G534+G539+G544</f>
        <v>1631566.9100000001</v>
      </c>
      <c r="H545" s="89">
        <f t="shared" si="41"/>
        <v>1964280.1400000001</v>
      </c>
      <c r="I545" s="89">
        <f t="shared" si="41"/>
        <v>49366.46</v>
      </c>
      <c r="J545" s="89">
        <f t="shared" si="41"/>
        <v>9374</v>
      </c>
      <c r="K545" s="89">
        <f t="shared" si="41"/>
        <v>33335.39</v>
      </c>
      <c r="L545" s="89">
        <f t="shared" si="41"/>
        <v>7024804.8099999996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2020681.8100000003</v>
      </c>
      <c r="G549" s="87">
        <f>L526</f>
        <v>314780.57999999996</v>
      </c>
      <c r="H549" s="87">
        <f>L531</f>
        <v>262183.09999999998</v>
      </c>
      <c r="I549" s="87">
        <f>L536</f>
        <v>343.7</v>
      </c>
      <c r="J549" s="87">
        <f>L541</f>
        <v>168902</v>
      </c>
      <c r="K549" s="87">
        <f>SUM(F549:J549)</f>
        <v>2766891.1900000004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1337406.44</v>
      </c>
      <c r="G550" s="87">
        <f>L527</f>
        <v>239714.28</v>
      </c>
      <c r="H550" s="87">
        <f>L532</f>
        <v>128416.21000000002</v>
      </c>
      <c r="I550" s="87">
        <f>L537</f>
        <v>168.34</v>
      </c>
      <c r="J550" s="87">
        <f>L542</f>
        <v>90559.97</v>
      </c>
      <c r="K550" s="87">
        <f>SUM(F550:J550)</f>
        <v>1796265.24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1796630.15</v>
      </c>
      <c r="G551" s="87">
        <f>L528</f>
        <v>264128.52</v>
      </c>
      <c r="H551" s="87">
        <f>L533</f>
        <v>144468.25</v>
      </c>
      <c r="I551" s="87">
        <f>L538</f>
        <v>189.39</v>
      </c>
      <c r="J551" s="87">
        <f>L543</f>
        <v>256232.07</v>
      </c>
      <c r="K551" s="87">
        <f>SUM(F551:J551)</f>
        <v>2461648.38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5154718.4000000004</v>
      </c>
      <c r="G552" s="89">
        <f t="shared" si="42"/>
        <v>818623.38</v>
      </c>
      <c r="H552" s="89">
        <f t="shared" si="42"/>
        <v>535067.56000000006</v>
      </c>
      <c r="I552" s="89">
        <f t="shared" si="42"/>
        <v>701.43</v>
      </c>
      <c r="J552" s="89">
        <f t="shared" si="42"/>
        <v>515694.04000000004</v>
      </c>
      <c r="K552" s="89">
        <f t="shared" si="42"/>
        <v>7024804.8100000005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575.38</v>
      </c>
      <c r="G562" s="18">
        <v>119.59</v>
      </c>
      <c r="H562" s="18">
        <v>14.7</v>
      </c>
      <c r="I562" s="18"/>
      <c r="J562" s="18"/>
      <c r="K562" s="18"/>
      <c r="L562" s="88">
        <f>SUM(F562:K562)</f>
        <v>709.67000000000007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281.82</v>
      </c>
      <c r="G563" s="18">
        <v>58.57</v>
      </c>
      <c r="H563" s="18">
        <v>7.2</v>
      </c>
      <c r="I563" s="18"/>
      <c r="J563" s="18"/>
      <c r="K563" s="18"/>
      <c r="L563" s="88">
        <f>SUM(F563:K563)</f>
        <v>347.59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317.05</v>
      </c>
      <c r="G564" s="18">
        <v>65.900000000000006</v>
      </c>
      <c r="H564" s="18">
        <v>8.1</v>
      </c>
      <c r="I564" s="18"/>
      <c r="J564" s="18"/>
      <c r="K564" s="18"/>
      <c r="L564" s="88">
        <f>SUM(F564:K564)</f>
        <v>391.05000000000007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1174.25</v>
      </c>
      <c r="G565" s="89">
        <f t="shared" si="44"/>
        <v>244.06</v>
      </c>
      <c r="H565" s="89">
        <f t="shared" si="44"/>
        <v>30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1448.31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35199.89</v>
      </c>
      <c r="G567" s="18">
        <v>2922.2</v>
      </c>
      <c r="H567" s="18">
        <v>2176.2800000000002</v>
      </c>
      <c r="I567" s="18">
        <v>290.33999999999997</v>
      </c>
      <c r="J567" s="18"/>
      <c r="K567" s="18">
        <v>835.45</v>
      </c>
      <c r="L567" s="88">
        <f>SUM(F567:K567)</f>
        <v>41424.159999999989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17240.759999999998</v>
      </c>
      <c r="G568" s="18">
        <v>1431.28</v>
      </c>
      <c r="H568" s="18">
        <v>1065.93</v>
      </c>
      <c r="I568" s="18">
        <v>142.21</v>
      </c>
      <c r="J568" s="18"/>
      <c r="K568" s="18">
        <v>409.2</v>
      </c>
      <c r="L568" s="88">
        <f>SUM(F568:K568)</f>
        <v>20289.379999999997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19395.86</v>
      </c>
      <c r="G569" s="18">
        <v>1610.19</v>
      </c>
      <c r="H569" s="18">
        <v>1199.18</v>
      </c>
      <c r="I569" s="18">
        <v>159.99</v>
      </c>
      <c r="J569" s="18"/>
      <c r="K569" s="18">
        <v>460.35</v>
      </c>
      <c r="L569" s="88">
        <f>SUM(F569:K569)</f>
        <v>22825.57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71836.509999999995</v>
      </c>
      <c r="G570" s="193">
        <f t="shared" ref="G570:L570" si="45">SUM(G567:G569)</f>
        <v>5963.67</v>
      </c>
      <c r="H570" s="193">
        <f t="shared" si="45"/>
        <v>4441.3900000000003</v>
      </c>
      <c r="I570" s="193">
        <f t="shared" si="45"/>
        <v>592.54</v>
      </c>
      <c r="J570" s="193">
        <f t="shared" si="45"/>
        <v>0</v>
      </c>
      <c r="K570" s="193">
        <f t="shared" si="45"/>
        <v>1705</v>
      </c>
      <c r="L570" s="193">
        <f t="shared" si="45"/>
        <v>84539.109999999986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73010.759999999995</v>
      </c>
      <c r="G571" s="89">
        <f t="shared" ref="G571:L571" si="46">G560+G565+G570</f>
        <v>6207.7300000000005</v>
      </c>
      <c r="H571" s="89">
        <f t="shared" si="46"/>
        <v>4471.3900000000003</v>
      </c>
      <c r="I571" s="89">
        <f t="shared" si="46"/>
        <v>592.54</v>
      </c>
      <c r="J571" s="89">
        <f t="shared" si="46"/>
        <v>0</v>
      </c>
      <c r="K571" s="89">
        <f t="shared" si="46"/>
        <v>1705</v>
      </c>
      <c r="L571" s="89">
        <f t="shared" si="46"/>
        <v>85987.419999999984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>
        <v>58867.91</v>
      </c>
      <c r="H578" s="18"/>
      <c r="I578" s="87">
        <f t="shared" si="47"/>
        <v>58867.91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103687.08</v>
      </c>
      <c r="G580" s="18">
        <v>58496.4</v>
      </c>
      <c r="H580" s="18">
        <v>86306.57</v>
      </c>
      <c r="I580" s="87">
        <f t="shared" si="47"/>
        <v>248490.05000000002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>
        <v>298754.46999999997</v>
      </c>
      <c r="H582" s="18">
        <v>455703.94</v>
      </c>
      <c r="I582" s="87">
        <f t="shared" si="47"/>
        <v>754458.40999999992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>
        <v>192801.31</v>
      </c>
      <c r="H583" s="18"/>
      <c r="I583" s="87">
        <f t="shared" si="47"/>
        <v>192801.31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9940.42</v>
      </c>
      <c r="I584" s="87">
        <f t="shared" si="47"/>
        <v>9940.42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378286.06</v>
      </c>
      <c r="I591" s="18">
        <v>185282.97</v>
      </c>
      <c r="J591" s="18">
        <v>208443.33</v>
      </c>
      <c r="K591" s="104">
        <f t="shared" ref="K591:K597" si="48">SUM(H591:J591)</f>
        <v>772012.36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168902</v>
      </c>
      <c r="I592" s="18">
        <v>90559.97</v>
      </c>
      <c r="J592" s="18">
        <v>256232.07</v>
      </c>
      <c r="K592" s="104">
        <f t="shared" si="48"/>
        <v>515694.04000000004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120360</v>
      </c>
      <c r="K593" s="104">
        <f t="shared" si="48"/>
        <v>120360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7540.5</v>
      </c>
      <c r="J594" s="18">
        <v>41891</v>
      </c>
      <c r="K594" s="104">
        <f t="shared" si="48"/>
        <v>49431.5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10959.5</v>
      </c>
      <c r="I595" s="18">
        <v>11726.5</v>
      </c>
      <c r="J595" s="18">
        <v>1943.5</v>
      </c>
      <c r="K595" s="104">
        <f t="shared" si="48"/>
        <v>24629.5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558147.56000000006</v>
      </c>
      <c r="I598" s="108">
        <f>SUM(I591:I597)</f>
        <v>295109.94</v>
      </c>
      <c r="J598" s="108">
        <f>SUM(J591:J597)</f>
        <v>628869.9</v>
      </c>
      <c r="K598" s="108">
        <f>SUM(K591:K597)</f>
        <v>1482127.4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117541.47</v>
      </c>
      <c r="I604" s="18">
        <v>59053.68</v>
      </c>
      <c r="J604" s="18">
        <v>76022.240000000005</v>
      </c>
      <c r="K604" s="104">
        <f>SUM(H604:J604)</f>
        <v>252617.39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117541.47</v>
      </c>
      <c r="I605" s="108">
        <f>SUM(I602:I604)</f>
        <v>59053.68</v>
      </c>
      <c r="J605" s="108">
        <f>SUM(J602:J604)</f>
        <v>76022.240000000005</v>
      </c>
      <c r="K605" s="108">
        <f>SUM(K602:K604)</f>
        <v>252617.39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62998.64</v>
      </c>
      <c r="G611" s="18">
        <v>13452.87</v>
      </c>
      <c r="H611" s="18">
        <v>667.26</v>
      </c>
      <c r="I611" s="18">
        <v>475.81</v>
      </c>
      <c r="J611" s="18"/>
      <c r="K611" s="18"/>
      <c r="L611" s="88">
        <f>SUM(F611:K611)</f>
        <v>77594.579999999987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17509.07</v>
      </c>
      <c r="G612" s="18">
        <v>2969.73</v>
      </c>
      <c r="H612" s="18">
        <v>326.82</v>
      </c>
      <c r="I612" s="18">
        <v>91.8</v>
      </c>
      <c r="J612" s="18"/>
      <c r="K612" s="18"/>
      <c r="L612" s="88">
        <f>SUM(F612:K612)</f>
        <v>20897.419999999998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7648.93</v>
      </c>
      <c r="G613" s="18">
        <v>1594.74</v>
      </c>
      <c r="H613" s="18">
        <v>367.67</v>
      </c>
      <c r="I613" s="18"/>
      <c r="J613" s="18"/>
      <c r="K613" s="18"/>
      <c r="L613" s="88">
        <f>SUM(F613:K613)</f>
        <v>9611.34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88156.639999999985</v>
      </c>
      <c r="G614" s="108">
        <f t="shared" si="49"/>
        <v>18017.340000000004</v>
      </c>
      <c r="H614" s="108">
        <f t="shared" si="49"/>
        <v>1361.75</v>
      </c>
      <c r="I614" s="108">
        <f t="shared" si="49"/>
        <v>567.61</v>
      </c>
      <c r="J614" s="108">
        <f t="shared" si="49"/>
        <v>0</v>
      </c>
      <c r="K614" s="108">
        <f t="shared" si="49"/>
        <v>0</v>
      </c>
      <c r="L614" s="89">
        <f t="shared" si="49"/>
        <v>108103.33999999998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1780473.7000000002</v>
      </c>
      <c r="H617" s="109">
        <f>SUM(F52)</f>
        <v>1780473.7000000002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67931.600000000006</v>
      </c>
      <c r="H618" s="109">
        <f>SUM(G52)</f>
        <v>67931.600000000006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186134.83</v>
      </c>
      <c r="H619" s="109">
        <f>SUM(H52)</f>
        <v>186134.83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2385843.2400000002</v>
      </c>
      <c r="H621" s="109">
        <f>SUM(J52)</f>
        <v>2385843.2399999998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1577723.31</v>
      </c>
      <c r="H622" s="109">
        <f>F476</f>
        <v>1577723.3099999987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30713.69</v>
      </c>
      <c r="H623" s="109">
        <f>G476</f>
        <v>30713.690000000002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2368226.6799999997</v>
      </c>
      <c r="H626" s="109">
        <f>J476</f>
        <v>2368226.6799999997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25856271.399999999</v>
      </c>
      <c r="H627" s="104">
        <f>SUM(F468)</f>
        <v>25856271.399999999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504955.02999999997</v>
      </c>
      <c r="H628" s="104">
        <f>SUM(G468)</f>
        <v>504955.03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783122.25</v>
      </c>
      <c r="H629" s="104">
        <f>SUM(H468)</f>
        <v>783122.25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91288.88</v>
      </c>
      <c r="H631" s="104">
        <f>SUM(J468)</f>
        <v>91288.88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25315395.480000004</v>
      </c>
      <c r="H632" s="104">
        <f>SUM(F472)</f>
        <v>25315395.48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790240.25</v>
      </c>
      <c r="H633" s="104">
        <f>SUM(H472)</f>
        <v>790240.25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1284.01</v>
      </c>
      <c r="H634" s="104">
        <f>I369</f>
        <v>1284.01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504132.57000000007</v>
      </c>
      <c r="H635" s="104">
        <f>SUM(G472)</f>
        <v>504132.57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91288.88</v>
      </c>
      <c r="H637" s="164">
        <f>SUM(J468)</f>
        <v>91288.88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289343.95</v>
      </c>
      <c r="H638" s="164">
        <f>SUM(J472)</f>
        <v>289343.95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120665.39</v>
      </c>
      <c r="H639" s="104">
        <f>SUM(F461)</f>
        <v>120665.39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1296109.1100000001</v>
      </c>
      <c r="H640" s="104">
        <f>SUM(G461)</f>
        <v>1296109.1100000001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969068.74</v>
      </c>
      <c r="H641" s="104">
        <f>SUM(H461)</f>
        <v>969068.74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2385843.2400000002</v>
      </c>
      <c r="H642" s="104">
        <f>SUM(I461)</f>
        <v>2385843.2399999998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91255.02</v>
      </c>
      <c r="H644" s="104">
        <f>H408</f>
        <v>91255.02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91288.88</v>
      </c>
      <c r="H646" s="104">
        <f>L408</f>
        <v>91288.88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1482127.4</v>
      </c>
      <c r="H647" s="104">
        <f>L208+L226+L244</f>
        <v>1482127.4000000001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252617.39</v>
      </c>
      <c r="H648" s="104">
        <f>(J257+J338)-(J255+J336)</f>
        <v>252617.39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558147.56000000006</v>
      </c>
      <c r="H649" s="104">
        <f>H598</f>
        <v>558147.56000000006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295109.94000000006</v>
      </c>
      <c r="H650" s="104">
        <f>I598</f>
        <v>295109.94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628869.9</v>
      </c>
      <c r="H651" s="104">
        <f>J598</f>
        <v>628869.9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17500</v>
      </c>
      <c r="H652" s="104">
        <f>K263+K345</f>
        <v>17500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10922402.390000002</v>
      </c>
      <c r="G660" s="19">
        <f>(L229+L309+L359)</f>
        <v>5626093.0700000012</v>
      </c>
      <c r="H660" s="19">
        <f>(L247+L328+L360)</f>
        <v>7068757.29</v>
      </c>
      <c r="I660" s="19">
        <f>SUM(F660:H660)</f>
        <v>23617252.750000004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119952.55399579994</v>
      </c>
      <c r="G661" s="19">
        <f>(L359/IF(SUM(L358:L360)=0,1,SUM(L358:L360))*(SUM(G97:G110)))</f>
        <v>58752.265497996283</v>
      </c>
      <c r="H661" s="19">
        <f>(L360/IF(SUM(L358:L360)=0,1,SUM(L358:L360))*(SUM(G97:G110)))</f>
        <v>66096.300506203756</v>
      </c>
      <c r="I661" s="19">
        <f>SUM(F661:H661)</f>
        <v>244801.11999999997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558147.56000000006</v>
      </c>
      <c r="G662" s="19">
        <f>(L226+L306)-(J226+J306)</f>
        <v>295109.94000000006</v>
      </c>
      <c r="H662" s="19">
        <f>(L244+L325)-(J244+J325)</f>
        <v>628869.9</v>
      </c>
      <c r="I662" s="19">
        <f>SUM(F662:H662)</f>
        <v>1482127.4000000001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298823.13</v>
      </c>
      <c r="G663" s="199">
        <f>SUM(G575:G587)+SUM(I602:I604)+L612</f>
        <v>688871.19000000006</v>
      </c>
      <c r="H663" s="199">
        <f>SUM(H575:H587)+SUM(J602:J604)+L613</f>
        <v>637584.51</v>
      </c>
      <c r="I663" s="19">
        <f>SUM(F663:H663)</f>
        <v>1625278.83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9945479.1460042018</v>
      </c>
      <c r="G664" s="19">
        <f>G660-SUM(G661:G663)</f>
        <v>4583359.6745020049</v>
      </c>
      <c r="H664" s="19">
        <f>H660-SUM(H661:H663)</f>
        <v>5736206.5794937965</v>
      </c>
      <c r="I664" s="19">
        <f>I660-SUM(I661:I663)</f>
        <v>20265045.400000002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669.66</v>
      </c>
      <c r="G665" s="248">
        <v>323.2</v>
      </c>
      <c r="H665" s="248">
        <v>363.3</v>
      </c>
      <c r="I665" s="19">
        <f>SUM(F665:H665)</f>
        <v>1356.1599999999999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14851.54</v>
      </c>
      <c r="G667" s="19">
        <f>ROUND(G664/G665,2)</f>
        <v>14181.19</v>
      </c>
      <c r="H667" s="19">
        <f>ROUND(H664/H665,2)</f>
        <v>15789.17</v>
      </c>
      <c r="I667" s="19">
        <f>ROUND(I664/I665,2)</f>
        <v>14942.96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0.39</v>
      </c>
      <c r="I670" s="19">
        <f>SUM(F670:H670)</f>
        <v>0.39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14851.54</v>
      </c>
      <c r="G672" s="19">
        <f>ROUND((G664+G669)/(G665+G670),2)</f>
        <v>14181.19</v>
      </c>
      <c r="H672" s="19">
        <f>ROUND((H664+H669)/(H665+H670),2)</f>
        <v>15772.24</v>
      </c>
      <c r="I672" s="19">
        <f>ROUND((I664+I669)/(I665+I670),2)</f>
        <v>14938.66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Jaffrey-Rindge Cooperative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5070465.55</v>
      </c>
      <c r="C9" s="229">
        <f>'DOE25'!G197+'DOE25'!G215+'DOE25'!G233+'DOE25'!G276+'DOE25'!G295+'DOE25'!G314</f>
        <v>2517628.5299999998</v>
      </c>
    </row>
    <row r="10" spans="1:3" x14ac:dyDescent="0.2">
      <c r="A10" t="s">
        <v>773</v>
      </c>
      <c r="B10" s="240">
        <f>4714925.89+196850</f>
        <v>4911775.8899999997</v>
      </c>
      <c r="C10" s="240">
        <v>2505488.77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f>95784.73+1931.11+60879.57+94.25</f>
        <v>158689.66</v>
      </c>
      <c r="C12" s="240">
        <v>12139.76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5070465.55</v>
      </c>
      <c r="C13" s="231">
        <f>SUM(C10:C12)</f>
        <v>2517628.5299999998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2961812.4</v>
      </c>
      <c r="C18" s="229">
        <f>'DOE25'!G198+'DOE25'!G216+'DOE25'!G234+'DOE25'!G277+'DOE25'!G296+'DOE25'!G315</f>
        <v>1410898.97</v>
      </c>
    </row>
    <row r="19" spans="1:3" x14ac:dyDescent="0.2">
      <c r="A19" t="s">
        <v>773</v>
      </c>
      <c r="B19" s="240">
        <v>1611395.91</v>
      </c>
      <c r="C19" s="240">
        <v>787532.08</v>
      </c>
    </row>
    <row r="20" spans="1:3" x14ac:dyDescent="0.2">
      <c r="A20" t="s">
        <v>774</v>
      </c>
      <c r="B20" s="240">
        <v>911511.73</v>
      </c>
      <c r="C20" s="240">
        <v>508644.22</v>
      </c>
    </row>
    <row r="21" spans="1:3" x14ac:dyDescent="0.2">
      <c r="A21" t="s">
        <v>775</v>
      </c>
      <c r="B21" s="240">
        <v>438904.76</v>
      </c>
      <c r="C21" s="240">
        <v>114722.67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2961812.3999999994</v>
      </c>
      <c r="C22" s="231">
        <f>SUM(C19:C21)</f>
        <v>1410898.9699999997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277303.38</v>
      </c>
      <c r="C27" s="234">
        <f>'DOE25'!G199+'DOE25'!G217+'DOE25'!G235+'DOE25'!G278+'DOE25'!G297+'DOE25'!G316</f>
        <v>115514.01000000001</v>
      </c>
    </row>
    <row r="28" spans="1:3" x14ac:dyDescent="0.2">
      <c r="A28" t="s">
        <v>773</v>
      </c>
      <c r="B28" s="240">
        <f>50350+50350+971.76+44450+51000+60250</f>
        <v>257371.76</v>
      </c>
      <c r="C28" s="240">
        <f>16377.69+502.74+72.03+126+3513.33+8740.68+8700.51+502.74+72.03+156.03+3738.27+8740.82+74.34+168.7+502.74+72.03+108.78+3400.36+7542.95+22108.8+502.74+72.03+127.68+3417.61+8853.52+502.74+72.03+150.78+4609.02+10459.52</f>
        <v>113989.23999999999</v>
      </c>
    </row>
    <row r="29" spans="1:3" x14ac:dyDescent="0.2">
      <c r="A29" t="s">
        <v>774</v>
      </c>
      <c r="B29" s="240">
        <f>19931.62</f>
        <v>19931.62</v>
      </c>
      <c r="C29" s="240">
        <v>1524.77</v>
      </c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277303.38</v>
      </c>
      <c r="C31" s="231">
        <f>SUM(C28:C30)</f>
        <v>115514.01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271861.39</v>
      </c>
      <c r="C36" s="235">
        <f>'DOE25'!G200+'DOE25'!G218+'DOE25'!G236+'DOE25'!G279+'DOE25'!G298+'DOE25'!G317</f>
        <v>44859.649999999994</v>
      </c>
    </row>
    <row r="37" spans="1:3" x14ac:dyDescent="0.2">
      <c r="A37" t="s">
        <v>773</v>
      </c>
      <c r="B37" s="240">
        <v>141857.64000000001</v>
      </c>
      <c r="C37" s="240">
        <v>33670.080000000002</v>
      </c>
    </row>
    <row r="38" spans="1:3" x14ac:dyDescent="0.2">
      <c r="A38" t="s">
        <v>774</v>
      </c>
      <c r="B38" s="240">
        <v>12588.75</v>
      </c>
      <c r="C38" s="240">
        <v>2015.04</v>
      </c>
    </row>
    <row r="39" spans="1:3" x14ac:dyDescent="0.2">
      <c r="A39" t="s">
        <v>775</v>
      </c>
      <c r="B39" s="240">
        <v>117415</v>
      </c>
      <c r="C39" s="240">
        <v>9174.5300000000007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271861.39</v>
      </c>
      <c r="C40" s="231">
        <f>SUM(C37:C39)</f>
        <v>44859.65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Jaffrey-Rindge Cooperative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13867114.130000001</v>
      </c>
      <c r="D5" s="20">
        <f>SUM('DOE25'!L197:L200)+SUM('DOE25'!L215:L218)+SUM('DOE25'!L233:L236)-F5-G5</f>
        <v>13798798.18</v>
      </c>
      <c r="E5" s="243"/>
      <c r="F5" s="255">
        <f>SUM('DOE25'!J197:J200)+SUM('DOE25'!J215:J218)+SUM('DOE25'!J233:J236)</f>
        <v>26766.560000000001</v>
      </c>
      <c r="G5" s="53">
        <f>SUM('DOE25'!K197:K200)+SUM('DOE25'!K215:K218)+SUM('DOE25'!K233:K236)</f>
        <v>41549.39</v>
      </c>
      <c r="H5" s="259"/>
    </row>
    <row r="6" spans="1:9" x14ac:dyDescent="0.2">
      <c r="A6" s="32">
        <v>2100</v>
      </c>
      <c r="B6" t="s">
        <v>795</v>
      </c>
      <c r="C6" s="245">
        <f t="shared" si="0"/>
        <v>1475210.28</v>
      </c>
      <c r="D6" s="20">
        <f>'DOE25'!L202+'DOE25'!L220+'DOE25'!L238-F6-G6</f>
        <v>1472810.83</v>
      </c>
      <c r="E6" s="243"/>
      <c r="F6" s="255">
        <f>'DOE25'!J202+'DOE25'!J220+'DOE25'!J238</f>
        <v>2189.4499999999998</v>
      </c>
      <c r="G6" s="53">
        <f>'DOE25'!K202+'DOE25'!K220+'DOE25'!K238</f>
        <v>210</v>
      </c>
      <c r="H6" s="259"/>
    </row>
    <row r="7" spans="1:9" x14ac:dyDescent="0.2">
      <c r="A7" s="32">
        <v>2200</v>
      </c>
      <c r="B7" t="s">
        <v>828</v>
      </c>
      <c r="C7" s="245">
        <f t="shared" si="0"/>
        <v>670136.53</v>
      </c>
      <c r="D7" s="20">
        <f>'DOE25'!L203+'DOE25'!L221+'DOE25'!L239-F7-G7</f>
        <v>664686</v>
      </c>
      <c r="E7" s="243"/>
      <c r="F7" s="255">
        <f>'DOE25'!J203+'DOE25'!J221+'DOE25'!J239</f>
        <v>346.53</v>
      </c>
      <c r="G7" s="53">
        <f>'DOE25'!K203+'DOE25'!K221+'DOE25'!K239</f>
        <v>5104</v>
      </c>
      <c r="H7" s="259"/>
    </row>
    <row r="8" spans="1:9" x14ac:dyDescent="0.2">
      <c r="A8" s="32">
        <v>2300</v>
      </c>
      <c r="B8" t="s">
        <v>796</v>
      </c>
      <c r="C8" s="245">
        <f t="shared" si="0"/>
        <v>63751.780000000013</v>
      </c>
      <c r="D8" s="243"/>
      <c r="E8" s="20">
        <f>'DOE25'!L204+'DOE25'!L222+'DOE25'!L240-F8-G8-D9-D11</f>
        <v>53432.330000000016</v>
      </c>
      <c r="F8" s="255">
        <f>'DOE25'!J204+'DOE25'!J222+'DOE25'!J240</f>
        <v>0</v>
      </c>
      <c r="G8" s="53">
        <f>'DOE25'!K204+'DOE25'!K222+'DOE25'!K240</f>
        <v>10319.450000000001</v>
      </c>
      <c r="H8" s="259"/>
    </row>
    <row r="9" spans="1:9" x14ac:dyDescent="0.2">
      <c r="A9" s="32">
        <v>2310</v>
      </c>
      <c r="B9" t="s">
        <v>812</v>
      </c>
      <c r="C9" s="245">
        <f t="shared" si="0"/>
        <v>25837.119999999999</v>
      </c>
      <c r="D9" s="244">
        <v>25837.119999999999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21000</v>
      </c>
      <c r="D10" s="243"/>
      <c r="E10" s="244">
        <v>21000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296678.48</v>
      </c>
      <c r="D11" s="244">
        <v>296678.48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1308844.05</v>
      </c>
      <c r="D12" s="20">
        <f>'DOE25'!L205+'DOE25'!L223+'DOE25'!L241-F12-G12</f>
        <v>1300576.95</v>
      </c>
      <c r="E12" s="243"/>
      <c r="F12" s="255">
        <f>'DOE25'!J205+'DOE25'!J223+'DOE25'!J241</f>
        <v>790.1</v>
      </c>
      <c r="G12" s="53">
        <f>'DOE25'!K205+'DOE25'!K223+'DOE25'!K241</f>
        <v>7477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557357.1100000001</v>
      </c>
      <c r="D13" s="243"/>
      <c r="E13" s="20">
        <f>'DOE25'!L206+'DOE25'!L224+'DOE25'!L242-F13-G13</f>
        <v>544987.75000000012</v>
      </c>
      <c r="F13" s="255">
        <f>'DOE25'!J206+'DOE25'!J224+'DOE25'!J242</f>
        <v>1340.51</v>
      </c>
      <c r="G13" s="53">
        <f>'DOE25'!K206+'DOE25'!K224+'DOE25'!K242</f>
        <v>11028.85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1873173.67</v>
      </c>
      <c r="D14" s="20">
        <f>'DOE25'!L207+'DOE25'!L225+'DOE25'!L243-F14-G14</f>
        <v>1801619.16</v>
      </c>
      <c r="E14" s="243"/>
      <c r="F14" s="255">
        <f>'DOE25'!J207+'DOE25'!J225+'DOE25'!J243</f>
        <v>71249.510000000009</v>
      </c>
      <c r="G14" s="53">
        <f>'DOE25'!K207+'DOE25'!K225+'DOE25'!K243</f>
        <v>305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1482127.4000000001</v>
      </c>
      <c r="D15" s="20">
        <f>'DOE25'!L208+'DOE25'!L226+'DOE25'!L244-F15-G15</f>
        <v>1482127.4000000001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717767.38000000012</v>
      </c>
      <c r="D16" s="243"/>
      <c r="E16" s="20">
        <f>'DOE25'!L209+'DOE25'!L227+'DOE25'!L245-F16-G16</f>
        <v>573362.49000000011</v>
      </c>
      <c r="F16" s="255">
        <f>'DOE25'!J209+'DOE25'!J227+'DOE25'!J245</f>
        <v>144404.88999999998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2208307.3400000003</v>
      </c>
      <c r="D22" s="243"/>
      <c r="E22" s="243"/>
      <c r="F22" s="255">
        <f>'DOE25'!L255+'DOE25'!L336</f>
        <v>2208307.3400000003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751590.21</v>
      </c>
      <c r="D25" s="243"/>
      <c r="E25" s="243"/>
      <c r="F25" s="258"/>
      <c r="G25" s="256"/>
      <c r="H25" s="257">
        <f>'DOE25'!L260+'DOE25'!L261+'DOE25'!L341+'DOE25'!L342</f>
        <v>751590.21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504132.57000000007</v>
      </c>
      <c r="D29" s="20">
        <f>'DOE25'!L358+'DOE25'!L359+'DOE25'!L360-'DOE25'!I367-F29-G29</f>
        <v>503944.57000000007</v>
      </c>
      <c r="E29" s="243"/>
      <c r="F29" s="255">
        <f>'DOE25'!J358+'DOE25'!J359+'DOE25'!J360</f>
        <v>0</v>
      </c>
      <c r="G29" s="53">
        <f>'DOE25'!K358+'DOE25'!K359+'DOE25'!K360</f>
        <v>188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775122.25</v>
      </c>
      <c r="D31" s="20">
        <f>'DOE25'!L290+'DOE25'!L309+'DOE25'!L328+'DOE25'!L333+'DOE25'!L334+'DOE25'!L335-F31-G31</f>
        <v>769592.41</v>
      </c>
      <c r="E31" s="243"/>
      <c r="F31" s="255">
        <f>'DOE25'!J290+'DOE25'!J309+'DOE25'!J328+'DOE25'!J333+'DOE25'!J334+'DOE25'!J335</f>
        <v>5529.84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22116671.099999998</v>
      </c>
      <c r="E33" s="246">
        <f>SUM(E5:E31)</f>
        <v>1192782.5700000003</v>
      </c>
      <c r="F33" s="246">
        <f>SUM(F5:F31)</f>
        <v>2460924.73</v>
      </c>
      <c r="G33" s="246">
        <f>SUM(G5:G31)</f>
        <v>76181.69</v>
      </c>
      <c r="H33" s="246">
        <f>SUM(H5:H31)</f>
        <v>751590.21</v>
      </c>
    </row>
    <row r="35" spans="2:8" ht="12" thickBot="1" x14ac:dyDescent="0.25">
      <c r="B35" s="253" t="s">
        <v>841</v>
      </c>
      <c r="D35" s="254">
        <f>E33</f>
        <v>1192782.5700000003</v>
      </c>
      <c r="E35" s="249"/>
    </row>
    <row r="36" spans="2:8" ht="12" thickTop="1" x14ac:dyDescent="0.2">
      <c r="B36" t="s">
        <v>809</v>
      </c>
      <c r="D36" s="20">
        <f>D33</f>
        <v>22116671.099999998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Jaffrey-Rindge Cooperative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1441074.05</v>
      </c>
      <c r="D8" s="95">
        <f>'DOE25'!G9</f>
        <v>539.09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2385843.2400000002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159280.72</v>
      </c>
      <c r="D11" s="95">
        <f>'DOE25'!G12</f>
        <v>26551.34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161686.07</v>
      </c>
      <c r="D12" s="95">
        <f>'DOE25'!G13</f>
        <v>10339.780000000001</v>
      </c>
      <c r="E12" s="95">
        <f>'DOE25'!H13</f>
        <v>186134.83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6302.86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30501.39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9130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3000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1780473.7000000002</v>
      </c>
      <c r="D18" s="41">
        <f>SUM(D8:D17)</f>
        <v>67931.600000000006</v>
      </c>
      <c r="E18" s="41">
        <f>SUM(E8:E17)</f>
        <v>186134.83</v>
      </c>
      <c r="F18" s="41">
        <f>SUM(F8:F17)</f>
        <v>0</v>
      </c>
      <c r="G18" s="41">
        <f>SUM(G8:G17)</f>
        <v>2385843.2400000002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185832.06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17616.560000000001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149142.51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19321.939999999999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45850.350000000006</v>
      </c>
      <c r="D27" s="95">
        <f>'DOE25'!G28</f>
        <v>15</v>
      </c>
      <c r="E27" s="95">
        <f>'DOE25'!H28</f>
        <v>281.25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6211.73</v>
      </c>
      <c r="D28" s="95">
        <f>'DOE25'!G29</f>
        <v>1.1499999999999999</v>
      </c>
      <c r="E28" s="95">
        <f>'DOE25'!H29</f>
        <v>21.52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17879.82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1545.8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202750.39</v>
      </c>
      <c r="D31" s="41">
        <f>SUM(D21:D30)</f>
        <v>37217.910000000003</v>
      </c>
      <c r="E31" s="41">
        <f>SUM(E21:E30)</f>
        <v>186134.83</v>
      </c>
      <c r="F31" s="41">
        <f>SUM(F21:F30)</f>
        <v>0</v>
      </c>
      <c r="G31" s="41">
        <f>SUM(G21:G30)</f>
        <v>17616.560000000001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30501.39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12130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212.3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2368226.6799999997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250000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225332.66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990260.65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1577723.31</v>
      </c>
      <c r="D50" s="41">
        <f>SUM(D34:D49)</f>
        <v>30713.69</v>
      </c>
      <c r="E50" s="41">
        <f>SUM(E34:E49)</f>
        <v>0</v>
      </c>
      <c r="F50" s="41">
        <f>SUM(F34:F49)</f>
        <v>0</v>
      </c>
      <c r="G50" s="41">
        <f>SUM(G34:G49)</f>
        <v>2368226.6799999997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1780473.7000000002</v>
      </c>
      <c r="D51" s="41">
        <f>D50+D31</f>
        <v>67931.600000000006</v>
      </c>
      <c r="E51" s="41">
        <f>E50+E31</f>
        <v>186134.83</v>
      </c>
      <c r="F51" s="41">
        <f>F50+F31</f>
        <v>0</v>
      </c>
      <c r="G51" s="41">
        <f>G50+G31</f>
        <v>2385843.2399999998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15331950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141151.12000000002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4533.4399999999996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91255.02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244801.12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512275.04000000004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33.86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657959.60000000009</v>
      </c>
      <c r="D62" s="130">
        <f>SUM(D57:D61)</f>
        <v>244801.12</v>
      </c>
      <c r="E62" s="130">
        <f>SUM(E57:E61)</f>
        <v>0</v>
      </c>
      <c r="F62" s="130">
        <f>SUM(F57:F61)</f>
        <v>0</v>
      </c>
      <c r="G62" s="130">
        <f>SUM(G57:G61)</f>
        <v>91288.88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15989909.6</v>
      </c>
      <c r="D63" s="22">
        <f>D56+D62</f>
        <v>244801.12</v>
      </c>
      <c r="E63" s="22">
        <f>E56+E62</f>
        <v>0</v>
      </c>
      <c r="F63" s="22">
        <f>F56+F62</f>
        <v>0</v>
      </c>
      <c r="G63" s="22">
        <f>G56+G62</f>
        <v>91288.88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4873685.55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2118015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11266.77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7002967.3199999994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325898.36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411818.81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4219.3999999999996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280000</v>
      </c>
      <c r="D77" s="95">
        <f>SUM('DOE25'!G131:G135)</f>
        <v>7333.1100000000006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1021936.57</v>
      </c>
      <c r="D78" s="130">
        <f>SUM(D72:D77)</f>
        <v>7333.1100000000006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8024903.8899999997</v>
      </c>
      <c r="D81" s="130">
        <f>SUM(D79:D80)+D78+D70</f>
        <v>7333.1100000000006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126339.91</v>
      </c>
      <c r="D88" s="95">
        <f>SUM('DOE25'!G153:G161)</f>
        <v>235320.8</v>
      </c>
      <c r="E88" s="95">
        <f>SUM('DOE25'!H153:H161)</f>
        <v>783122.25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126339.91</v>
      </c>
      <c r="D91" s="131">
        <f>SUM(D85:D90)</f>
        <v>235320.8</v>
      </c>
      <c r="E91" s="131">
        <f>SUM(E85:E90)</f>
        <v>783122.25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1700000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17500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15118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1715118</v>
      </c>
      <c r="D103" s="86">
        <f>SUM(D93:D102)</f>
        <v>17500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25856271.399999999</v>
      </c>
      <c r="D104" s="86">
        <f>D63+D81+D91+D103</f>
        <v>504955.02999999997</v>
      </c>
      <c r="E104" s="86">
        <f>E63+E81+E91+E103</f>
        <v>783122.25</v>
      </c>
      <c r="F104" s="86">
        <f>F63+F81+F91+F103</f>
        <v>0</v>
      </c>
      <c r="G104" s="86">
        <f>G63+G81+G103</f>
        <v>91288.88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7548889.0900000008</v>
      </c>
      <c r="D109" s="24" t="s">
        <v>286</v>
      </c>
      <c r="E109" s="95">
        <f>('DOE25'!L276)+('DOE25'!L295)+('DOE25'!L314)</f>
        <v>299493.16000000003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5519038.6799999997</v>
      </c>
      <c r="D110" s="24" t="s">
        <v>286</v>
      </c>
      <c r="E110" s="95">
        <f>('DOE25'!L277)+('DOE25'!L296)+('DOE25'!L315)</f>
        <v>212860.15999999997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423066.67000000004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376119.69000000006</v>
      </c>
      <c r="D112" s="24" t="s">
        <v>286</v>
      </c>
      <c r="E112" s="95">
        <f>+('DOE25'!L279)+('DOE25'!L298)+('DOE25'!L317)</f>
        <v>2884.39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13867114.129999999</v>
      </c>
      <c r="D115" s="86">
        <f>SUM(D109:D114)</f>
        <v>0</v>
      </c>
      <c r="E115" s="86">
        <f>SUM(E109:E114)</f>
        <v>515237.71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1475210.28</v>
      </c>
      <c r="D118" s="24" t="s">
        <v>286</v>
      </c>
      <c r="E118" s="95">
        <f>+('DOE25'!L281)+('DOE25'!L300)+('DOE25'!L319)</f>
        <v>30581.280000000002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670136.53</v>
      </c>
      <c r="D119" s="24" t="s">
        <v>286</v>
      </c>
      <c r="E119" s="95">
        <f>+('DOE25'!L282)+('DOE25'!L301)+('DOE25'!L320)</f>
        <v>229303.26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386267.38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1308844.05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557357.1100000001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1873173.67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1482127.4000000001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717767.38000000012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504132.57000000007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8470883.8000000007</v>
      </c>
      <c r="D128" s="86">
        <f>SUM(D118:D127)</f>
        <v>504132.57000000007</v>
      </c>
      <c r="E128" s="86">
        <f>SUM(E118:E127)</f>
        <v>259884.54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2208307.3400000003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615000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136590.21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15118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17500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4301.7700000000004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45542.63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41444.480000000003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-91288.88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2977397.5500000003</v>
      </c>
      <c r="D144" s="141">
        <f>SUM(D130:D143)</f>
        <v>0</v>
      </c>
      <c r="E144" s="141">
        <f>SUM(E130:E143)</f>
        <v>15118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25315395.48</v>
      </c>
      <c r="D145" s="86">
        <f>(D115+D128+D144)</f>
        <v>504132.57000000007</v>
      </c>
      <c r="E145" s="86">
        <f>(E115+E128+E144)</f>
        <v>790240.25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07/06</v>
      </c>
      <c r="C152" s="152" t="str">
        <f>'DOE25'!G491</f>
        <v>07/17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08/21</v>
      </c>
      <c r="C153" s="152" t="str">
        <f>'DOE25'!G492</f>
        <v>08/27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9247684</v>
      </c>
      <c r="C154" s="137">
        <f>'DOE25'!G493</f>
        <v>1446400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5.0999999999999996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3075000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3075000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1446400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1446400</v>
      </c>
    </row>
    <row r="158" spans="1:9" x14ac:dyDescent="0.2">
      <c r="A158" s="22" t="s">
        <v>34</v>
      </c>
      <c r="B158" s="137">
        <f>'DOE25'!F497</f>
        <v>615000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615000</v>
      </c>
    </row>
    <row r="159" spans="1:9" x14ac:dyDescent="0.2">
      <c r="A159" s="22" t="s">
        <v>35</v>
      </c>
      <c r="B159" s="137">
        <f>'DOE25'!F498</f>
        <v>2460000</v>
      </c>
      <c r="C159" s="137">
        <f>'DOE25'!G498</f>
        <v>1446400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3906400</v>
      </c>
    </row>
    <row r="160" spans="1:9" x14ac:dyDescent="0.2">
      <c r="A160" s="22" t="s">
        <v>36</v>
      </c>
      <c r="B160" s="137">
        <f>'DOE25'!F499</f>
        <v>120474.26</v>
      </c>
      <c r="C160" s="137">
        <f>'DOE25'!G499</f>
        <v>369658.19999999995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490132.45999999996</v>
      </c>
    </row>
    <row r="161" spans="1:7" x14ac:dyDescent="0.2">
      <c r="A161" s="22" t="s">
        <v>37</v>
      </c>
      <c r="B161" s="137">
        <f>'DOE25'!F500</f>
        <v>2580474.2599999998</v>
      </c>
      <c r="C161" s="137">
        <f>'DOE25'!G500</f>
        <v>1816058.2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4396532.46</v>
      </c>
    </row>
    <row r="162" spans="1:7" x14ac:dyDescent="0.2">
      <c r="A162" s="22" t="s">
        <v>38</v>
      </c>
      <c r="B162" s="137">
        <f>'DOE25'!F501</f>
        <v>615000</v>
      </c>
      <c r="C162" s="137">
        <f>'DOE25'!G501</f>
        <v>141400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756400</v>
      </c>
    </row>
    <row r="163" spans="1:7" x14ac:dyDescent="0.2">
      <c r="A163" s="22" t="s">
        <v>39</v>
      </c>
      <c r="B163" s="137">
        <f>'DOE25'!F502</f>
        <v>75055.5</v>
      </c>
      <c r="C163" s="137">
        <f>'DOE25'!G502</f>
        <v>70160.7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145216.20000000001</v>
      </c>
    </row>
    <row r="164" spans="1:7" x14ac:dyDescent="0.2">
      <c r="A164" s="22" t="s">
        <v>246</v>
      </c>
      <c r="B164" s="137">
        <f>'DOE25'!F503</f>
        <v>690055.5</v>
      </c>
      <c r="C164" s="137">
        <f>'DOE25'!G503</f>
        <v>211560.7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901616.2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A3" sqref="A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Jaffrey-Rindge Cooperative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14852</v>
      </c>
    </row>
    <row r="5" spans="1:4" x14ac:dyDescent="0.2">
      <c r="B5" t="s">
        <v>698</v>
      </c>
      <c r="C5" s="179">
        <f>IF('DOE25'!G665+'DOE25'!G670=0,0,ROUND('DOE25'!G672,0))</f>
        <v>14181</v>
      </c>
    </row>
    <row r="6" spans="1:4" x14ac:dyDescent="0.2">
      <c r="B6" t="s">
        <v>62</v>
      </c>
      <c r="C6" s="179">
        <f>IF('DOE25'!H665+'DOE25'!H670=0,0,ROUND('DOE25'!H672,0))</f>
        <v>15772</v>
      </c>
    </row>
    <row r="7" spans="1:4" x14ac:dyDescent="0.2">
      <c r="B7" t="s">
        <v>699</v>
      </c>
      <c r="C7" s="179">
        <f>IF('DOE25'!I665+'DOE25'!I670=0,0,ROUND('DOE25'!I672,0))</f>
        <v>14939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7848382</v>
      </c>
      <c r="D10" s="182">
        <f>ROUND((C10/$C$28)*100,1)</f>
        <v>33.4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5731899</v>
      </c>
      <c r="D11" s="182">
        <f>ROUND((C11/$C$28)*100,1)</f>
        <v>24.4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423067</v>
      </c>
      <c r="D12" s="182">
        <f>ROUND((C12/$C$28)*100,1)</f>
        <v>1.8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379004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1505792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899440</v>
      </c>
      <c r="D16" s="182">
        <f t="shared" si="0"/>
        <v>3.8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1104035</v>
      </c>
      <c r="D17" s="182">
        <f t="shared" si="0"/>
        <v>4.7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1308844</v>
      </c>
      <c r="D18" s="182">
        <f t="shared" si="0"/>
        <v>5.6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557357</v>
      </c>
      <c r="D19" s="182">
        <f t="shared" si="0"/>
        <v>2.4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1873174</v>
      </c>
      <c r="D20" s="182">
        <f t="shared" si="0"/>
        <v>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1482127</v>
      </c>
      <c r="D21" s="182">
        <f t="shared" si="0"/>
        <v>6.3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136590</v>
      </c>
      <c r="D25" s="182">
        <f t="shared" si="0"/>
        <v>0.6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259331.88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23509042.879999999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2208307</v>
      </c>
    </row>
    <row r="30" spans="1:4" x14ac:dyDescent="0.2">
      <c r="B30" s="187" t="s">
        <v>723</v>
      </c>
      <c r="C30" s="180">
        <f>SUM(C28:C29)</f>
        <v>25717349.879999999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615000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15331950</v>
      </c>
      <c r="D35" s="182">
        <f t="shared" ref="D35:D40" si="1">ROUND((C35/$C$41)*100,1)</f>
        <v>60.7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749248.48000000045</v>
      </c>
      <c r="D36" s="182">
        <f t="shared" si="1"/>
        <v>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6991701</v>
      </c>
      <c r="D37" s="182">
        <f t="shared" si="1"/>
        <v>27.7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1040536</v>
      </c>
      <c r="D38" s="182">
        <f t="shared" si="1"/>
        <v>4.0999999999999996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1144783</v>
      </c>
      <c r="D39" s="182">
        <f t="shared" si="1"/>
        <v>4.5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25258218.48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1700000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Jaffrey-Rindge Cooperative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2018-09-21T12:22:27Z</cp:lastPrinted>
  <dcterms:created xsi:type="dcterms:W3CDTF">1997-12-04T19:04:30Z</dcterms:created>
  <dcterms:modified xsi:type="dcterms:W3CDTF">2018-12-03T19:05:34Z</dcterms:modified>
</cp:coreProperties>
</file>