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3040" windowHeight="937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225" i="1" l="1"/>
  <c r="F50" i="1" l="1"/>
  <c r="F24" i="1"/>
  <c r="F459" i="1" l="1"/>
  <c r="F441" i="1"/>
  <c r="F440" i="1"/>
  <c r="H397" i="1"/>
  <c r="H396" i="1"/>
  <c r="J523" i="1" l="1"/>
  <c r="I523" i="1"/>
  <c r="G523" i="1"/>
  <c r="F523" i="1"/>
  <c r="H528" i="1"/>
  <c r="J521" i="1"/>
  <c r="J522" i="1"/>
  <c r="K521" i="1"/>
  <c r="G522" i="1"/>
  <c r="H522" i="1"/>
  <c r="I522" i="1"/>
  <c r="K522" i="1"/>
  <c r="G521" i="1"/>
  <c r="H521" i="1"/>
  <c r="I521" i="1"/>
  <c r="K523" i="1"/>
  <c r="H543" i="1"/>
  <c r="H542" i="1"/>
  <c r="H541" i="1"/>
  <c r="H523" i="1"/>
  <c r="F522" i="1"/>
  <c r="F521" i="1"/>
  <c r="J604" i="1"/>
  <c r="I604" i="1"/>
  <c r="H604" i="1"/>
  <c r="F497" i="1"/>
  <c r="G502" i="1"/>
  <c r="F502" i="1"/>
  <c r="F501" i="1"/>
  <c r="G498" i="1"/>
  <c r="F498" i="1"/>
  <c r="I472" i="1"/>
  <c r="H472" i="1"/>
  <c r="G472" i="1"/>
  <c r="I468" i="1"/>
  <c r="H468" i="1"/>
  <c r="G468" i="1"/>
  <c r="F468" i="1"/>
  <c r="I465" i="1"/>
  <c r="H465" i="1"/>
  <c r="H28" i="1"/>
  <c r="H24" i="1"/>
  <c r="H22" i="1"/>
  <c r="H13" i="1"/>
  <c r="H12" i="1"/>
  <c r="I48" i="1"/>
  <c r="G13" i="1"/>
  <c r="G12" i="1"/>
  <c r="G10" i="1"/>
  <c r="G465" i="1"/>
  <c r="F35" i="1"/>
  <c r="F29" i="1"/>
  <c r="F30" i="1"/>
  <c r="F28" i="1"/>
  <c r="F12" i="1"/>
  <c r="F22" i="1"/>
  <c r="F16" i="1"/>
  <c r="F13" i="1"/>
  <c r="C45" i="2"/>
  <c r="G51" i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/>
  <c r="I458" i="1"/>
  <c r="J39" i="1"/>
  <c r="G38" i="2"/>
  <c r="C68" i="2"/>
  <c r="B2" i="13"/>
  <c r="F8" i="13"/>
  <c r="G8" i="13"/>
  <c r="L204" i="1"/>
  <c r="L222" i="1"/>
  <c r="L240" i="1"/>
  <c r="D39" i="13"/>
  <c r="F13" i="13"/>
  <c r="G13" i="13"/>
  <c r="L206" i="1"/>
  <c r="C19" i="10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C109" i="2"/>
  <c r="L234" i="1"/>
  <c r="L235" i="1"/>
  <c r="L236" i="1"/>
  <c r="C112" i="2"/>
  <c r="F6" i="13"/>
  <c r="G6" i="13"/>
  <c r="L202" i="1"/>
  <c r="L220" i="1"/>
  <c r="L238" i="1"/>
  <c r="D6" i="13"/>
  <c r="C6" i="13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C123" i="2" s="1"/>
  <c r="C128" i="2" s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I369" i="1"/>
  <c r="H634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E122" i="2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/>
  <c r="L334" i="1"/>
  <c r="L335" i="1"/>
  <c r="L260" i="1"/>
  <c r="C32" i="10"/>
  <c r="L261" i="1"/>
  <c r="C25" i="10"/>
  <c r="L341" i="1"/>
  <c r="L342" i="1"/>
  <c r="L255" i="1"/>
  <c r="L336" i="1"/>
  <c r="F22" i="13"/>
  <c r="C22" i="13"/>
  <c r="C11" i="13"/>
  <c r="C10" i="13"/>
  <c r="C9" i="13"/>
  <c r="L361" i="1"/>
  <c r="B4" i="12"/>
  <c r="B36" i="12"/>
  <c r="B40" i="12"/>
  <c r="A40" i="12"/>
  <c r="C36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/>
  <c r="G59" i="2"/>
  <c r="G61" i="2"/>
  <c r="G62" i="2" s="1"/>
  <c r="G63" i="2" s="1"/>
  <c r="F2" i="11"/>
  <c r="L613" i="1"/>
  <c r="H663" i="1"/>
  <c r="L612" i="1"/>
  <c r="G663" i="1"/>
  <c r="L611" i="1"/>
  <c r="F663" i="1"/>
  <c r="C40" i="10"/>
  <c r="F60" i="1"/>
  <c r="G60" i="1"/>
  <c r="H60" i="1"/>
  <c r="I60" i="1"/>
  <c r="F79" i="1"/>
  <c r="C57" i="2"/>
  <c r="F94" i="1"/>
  <c r="F111" i="1"/>
  <c r="G111" i="1"/>
  <c r="H79" i="1"/>
  <c r="E57" i="2"/>
  <c r="H94" i="1"/>
  <c r="H111" i="1"/>
  <c r="I111" i="1"/>
  <c r="I112" i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/>
  <c r="I147" i="1"/>
  <c r="I162" i="1"/>
  <c r="C11" i="10"/>
  <c r="L250" i="1"/>
  <c r="L332" i="1"/>
  <c r="L254" i="1"/>
  <c r="L268" i="1"/>
  <c r="C142" i="2"/>
  <c r="L269" i="1"/>
  <c r="L349" i="1"/>
  <c r="L350" i="1"/>
  <c r="I665" i="1"/>
  <c r="I670" i="1"/>
  <c r="G662" i="1"/>
  <c r="H662" i="1"/>
  <c r="I669" i="1"/>
  <c r="C42" i="10"/>
  <c r="L374" i="1"/>
  <c r="F130" i="2"/>
  <c r="F144" i="2" s="1"/>
  <c r="F145" i="2" s="1"/>
  <c r="L375" i="1"/>
  <c r="L376" i="1"/>
  <c r="L377" i="1"/>
  <c r="L378" i="1"/>
  <c r="L379" i="1"/>
  <c r="L380" i="1"/>
  <c r="B2" i="10"/>
  <c r="L344" i="1"/>
  <c r="E134" i="2"/>
  <c r="L345" i="1"/>
  <c r="L346" i="1"/>
  <c r="L347" i="1"/>
  <c r="K351" i="1"/>
  <c r="L521" i="1"/>
  <c r="F549" i="1"/>
  <c r="L522" i="1"/>
  <c r="F550" i="1"/>
  <c r="L523" i="1"/>
  <c r="F551" i="1"/>
  <c r="L526" i="1"/>
  <c r="G549" i="1"/>
  <c r="L527" i="1"/>
  <c r="G550" i="1"/>
  <c r="L528" i="1"/>
  <c r="G551" i="1"/>
  <c r="L531" i="1"/>
  <c r="H549" i="1"/>
  <c r="L532" i="1"/>
  <c r="H550" i="1"/>
  <c r="L533" i="1"/>
  <c r="H551" i="1"/>
  <c r="L541" i="1"/>
  <c r="J549" i="1"/>
  <c r="L542" i="1"/>
  <c r="J550" i="1"/>
  <c r="J552" i="1"/>
  <c r="L543" i="1"/>
  <c r="J551" i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/>
  <c r="G8" i="2"/>
  <c r="C9" i="2"/>
  <c r="D9" i="2"/>
  <c r="E9" i="2"/>
  <c r="F9" i="2"/>
  <c r="I440" i="1"/>
  <c r="J10" i="1"/>
  <c r="G9" i="2" s="1"/>
  <c r="C10" i="2"/>
  <c r="C11" i="2"/>
  <c r="D11" i="2"/>
  <c r="E11" i="2"/>
  <c r="F11" i="2"/>
  <c r="I441" i="1"/>
  <c r="J12" i="1"/>
  <c r="G11" i="2" s="1"/>
  <c r="C12" i="2"/>
  <c r="D12" i="2"/>
  <c r="E12" i="2"/>
  <c r="F12" i="2"/>
  <c r="I442" i="1"/>
  <c r="J13" i="1"/>
  <c r="G12" i="2" s="1"/>
  <c r="C13" i="2"/>
  <c r="D13" i="2"/>
  <c r="E13" i="2"/>
  <c r="F13" i="2"/>
  <c r="I443" i="1"/>
  <c r="J14" i="1"/>
  <c r="G13" i="2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/>
  <c r="C21" i="2"/>
  <c r="D21" i="2"/>
  <c r="E21" i="2"/>
  <c r="F21" i="2"/>
  <c r="I448" i="1"/>
  <c r="I452" i="1" s="1"/>
  <c r="C22" i="2"/>
  <c r="D22" i="2"/>
  <c r="E22" i="2"/>
  <c r="F22" i="2"/>
  <c r="I449" i="1"/>
  <c r="J23" i="1"/>
  <c r="C23" i="2"/>
  <c r="D23" i="2"/>
  <c r="E23" i="2"/>
  <c r="F23" i="2"/>
  <c r="I450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/>
  <c r="C34" i="2"/>
  <c r="D34" i="2"/>
  <c r="D50" i="2"/>
  <c r="E34" i="2"/>
  <c r="F34" i="2"/>
  <c r="C35" i="2"/>
  <c r="D35" i="2"/>
  <c r="E35" i="2"/>
  <c r="F35" i="2"/>
  <c r="I454" i="1"/>
  <c r="J49" i="1"/>
  <c r="G48" i="2"/>
  <c r="I456" i="1"/>
  <c r="J43" i="1"/>
  <c r="I457" i="1"/>
  <c r="J37" i="1"/>
  <c r="I459" i="1"/>
  <c r="J48" i="1"/>
  <c r="J51" i="1" s="1"/>
  <c r="G626" i="1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/>
  <c r="E69" i="2"/>
  <c r="E70" i="2"/>
  <c r="F69" i="2"/>
  <c r="F70" i="2"/>
  <c r="G69" i="2"/>
  <c r="G70" i="2"/>
  <c r="C72" i="2"/>
  <c r="F72" i="2"/>
  <c r="C73" i="2"/>
  <c r="F73" i="2"/>
  <c r="C74" i="2"/>
  <c r="C75" i="2"/>
  <c r="C76" i="2"/>
  <c r="E76" i="2"/>
  <c r="F76" i="2"/>
  <c r="F78" i="2"/>
  <c r="F81" i="2"/>
  <c r="C77" i="2"/>
  <c r="D77" i="2"/>
  <c r="D78" i="2"/>
  <c r="E77" i="2"/>
  <c r="F77" i="2"/>
  <c r="G77" i="2"/>
  <c r="G78" i="2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E112" i="2"/>
  <c r="C113" i="2"/>
  <c r="E113" i="2"/>
  <c r="C114" i="2"/>
  <c r="D115" i="2"/>
  <c r="F115" i="2"/>
  <c r="G115" i="2"/>
  <c r="C118" i="2"/>
  <c r="E120" i="2"/>
  <c r="E121" i="2"/>
  <c r="C122" i="2"/>
  <c r="E123" i="2"/>
  <c r="E124" i="2"/>
  <c r="C125" i="2"/>
  <c r="E125" i="2"/>
  <c r="F128" i="2"/>
  <c r="G128" i="2"/>
  <c r="C130" i="2"/>
  <c r="E130" i="2"/>
  <c r="D134" i="2"/>
  <c r="D144" i="2"/>
  <c r="F134" i="2"/>
  <c r="K419" i="1"/>
  <c r="K427" i="1"/>
  <c r="K433" i="1"/>
  <c r="L263" i="1"/>
  <c r="C135" i="2"/>
  <c r="E135" i="2"/>
  <c r="L264" i="1"/>
  <c r="C136" i="2"/>
  <c r="L265" i="1"/>
  <c r="C137" i="2"/>
  <c r="E137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G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500" i="1"/>
  <c r="C161" i="2"/>
  <c r="G161" i="2"/>
  <c r="H500" i="1"/>
  <c r="D161" i="2"/>
  <c r="I500" i="1"/>
  <c r="E161" i="2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503" i="1"/>
  <c r="C164" i="2"/>
  <c r="H503" i="1"/>
  <c r="D164" i="2"/>
  <c r="I503" i="1"/>
  <c r="E164" i="2"/>
  <c r="J503" i="1"/>
  <c r="F164" i="2"/>
  <c r="F19" i="1"/>
  <c r="G617" i="1"/>
  <c r="G19" i="1"/>
  <c r="G618" i="1"/>
  <c r="H19" i="1"/>
  <c r="G619" i="1"/>
  <c r="I19" i="1"/>
  <c r="G620" i="1"/>
  <c r="F32" i="1"/>
  <c r="F52" i="1"/>
  <c r="H617" i="1" s="1"/>
  <c r="J617" i="1" s="1"/>
  <c r="G32" i="1"/>
  <c r="G52" i="1"/>
  <c r="H618" i="1"/>
  <c r="H32" i="1"/>
  <c r="I32" i="1"/>
  <c r="H51" i="1"/>
  <c r="G624" i="1"/>
  <c r="I51" i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L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G338" i="1"/>
  <c r="G352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I401" i="1"/>
  <c r="F407" i="1"/>
  <c r="G407" i="1"/>
  <c r="H407" i="1"/>
  <c r="I407" i="1"/>
  <c r="F408" i="1"/>
  <c r="H643" i="1"/>
  <c r="J643" i="1"/>
  <c r="G408" i="1"/>
  <c r="H645" i="1" s="1"/>
  <c r="I408" i="1"/>
  <c r="L413" i="1"/>
  <c r="L419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L427" i="1" s="1"/>
  <c r="L434" i="1" s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/>
  <c r="J640" i="1"/>
  <c r="H446" i="1"/>
  <c r="F452" i="1"/>
  <c r="G452" i="1"/>
  <c r="H452" i="1"/>
  <c r="F460" i="1"/>
  <c r="G460" i="1"/>
  <c r="H460" i="1"/>
  <c r="G461" i="1"/>
  <c r="H461" i="1"/>
  <c r="F470" i="1"/>
  <c r="G470" i="1"/>
  <c r="G476" i="1"/>
  <c r="H623" i="1"/>
  <c r="H470" i="1"/>
  <c r="I470" i="1"/>
  <c r="G474" i="1"/>
  <c r="H474" i="1"/>
  <c r="H476" i="1"/>
  <c r="H624" i="1"/>
  <c r="I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J539" i="1"/>
  <c r="K539" i="1"/>
  <c r="F544" i="1"/>
  <c r="G544" i="1"/>
  <c r="H544" i="1"/>
  <c r="I544" i="1"/>
  <c r="J544" i="1"/>
  <c r="K544" i="1"/>
  <c r="L557" i="1"/>
  <c r="L558" i="1"/>
  <c r="L560" i="1"/>
  <c r="L559" i="1"/>
  <c r="F560" i="1"/>
  <c r="G560" i="1"/>
  <c r="H560" i="1"/>
  <c r="I560" i="1"/>
  <c r="J560" i="1"/>
  <c r="J571" i="1"/>
  <c r="K560" i="1"/>
  <c r="L562" i="1"/>
  <c r="L563" i="1"/>
  <c r="L564" i="1"/>
  <c r="L565" i="1"/>
  <c r="F565" i="1"/>
  <c r="G565" i="1"/>
  <c r="H565" i="1"/>
  <c r="I565" i="1"/>
  <c r="J565" i="1"/>
  <c r="K565" i="1"/>
  <c r="K571" i="1"/>
  <c r="L567" i="1"/>
  <c r="L568" i="1"/>
  <c r="L569" i="1"/>
  <c r="F570" i="1"/>
  <c r="F571" i="1"/>
  <c r="G570" i="1"/>
  <c r="H570" i="1"/>
  <c r="H571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I598" i="1"/>
  <c r="H650" i="1"/>
  <c r="J598" i="1"/>
  <c r="H651" i="1"/>
  <c r="K602" i="1"/>
  <c r="K605" i="1"/>
  <c r="G648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23" i="1"/>
  <c r="H627" i="1"/>
  <c r="H628" i="1"/>
  <c r="H629" i="1"/>
  <c r="H630" i="1"/>
  <c r="H633" i="1"/>
  <c r="G634" i="1"/>
  <c r="H635" i="1"/>
  <c r="H636" i="1"/>
  <c r="H640" i="1"/>
  <c r="G641" i="1"/>
  <c r="H641" i="1"/>
  <c r="J641" i="1"/>
  <c r="G643" i="1"/>
  <c r="G644" i="1"/>
  <c r="G645" i="1"/>
  <c r="G649" i="1"/>
  <c r="G650" i="1"/>
  <c r="G651" i="1"/>
  <c r="G652" i="1"/>
  <c r="H652" i="1"/>
  <c r="G653" i="1"/>
  <c r="H653" i="1"/>
  <c r="G654" i="1"/>
  <c r="H654" i="1"/>
  <c r="H655" i="1"/>
  <c r="F192" i="1"/>
  <c r="L351" i="1"/>
  <c r="A31" i="12"/>
  <c r="D62" i="2"/>
  <c r="D63" i="2"/>
  <c r="D18" i="13"/>
  <c r="C18" i="13"/>
  <c r="D17" i="13"/>
  <c r="C17" i="13"/>
  <c r="D31" i="2"/>
  <c r="F18" i="2"/>
  <c r="E103" i="2"/>
  <c r="D19" i="13"/>
  <c r="C19" i="13"/>
  <c r="E13" i="13"/>
  <c r="C13" i="13"/>
  <c r="E78" i="2"/>
  <c r="E81" i="2"/>
  <c r="L433" i="1"/>
  <c r="D81" i="2"/>
  <c r="I169" i="1"/>
  <c r="F169" i="1"/>
  <c r="J140" i="1"/>
  <c r="G22" i="2"/>
  <c r="C29" i="10"/>
  <c r="H140" i="1"/>
  <c r="L393" i="1"/>
  <c r="H25" i="13"/>
  <c r="C25" i="13"/>
  <c r="G192" i="1"/>
  <c r="H192" i="1"/>
  <c r="L309" i="1"/>
  <c r="E16" i="13"/>
  <c r="J655" i="1"/>
  <c r="G36" i="2"/>
  <c r="C138" i="2"/>
  <c r="J545" i="1"/>
  <c r="L538" i="1"/>
  <c r="I551" i="1"/>
  <c r="K551" i="1"/>
  <c r="L537" i="1"/>
  <c r="I550" i="1"/>
  <c r="K550" i="1"/>
  <c r="K545" i="1"/>
  <c r="H545" i="1"/>
  <c r="L544" i="1"/>
  <c r="H552" i="1"/>
  <c r="G545" i="1"/>
  <c r="L534" i="1"/>
  <c r="G552" i="1"/>
  <c r="L529" i="1"/>
  <c r="F552" i="1"/>
  <c r="L524" i="1"/>
  <c r="I571" i="1"/>
  <c r="L570" i="1"/>
  <c r="K598" i="1"/>
  <c r="G647" i="1"/>
  <c r="J651" i="1"/>
  <c r="J649" i="1"/>
  <c r="J634" i="1"/>
  <c r="G164" i="2"/>
  <c r="G157" i="2"/>
  <c r="I476" i="1"/>
  <c r="H625" i="1"/>
  <c r="J624" i="1"/>
  <c r="E31" i="2"/>
  <c r="H52" i="1"/>
  <c r="H619" i="1"/>
  <c r="J619" i="1"/>
  <c r="I52" i="1"/>
  <c r="H620" i="1"/>
  <c r="J620" i="1"/>
  <c r="J623" i="1"/>
  <c r="D18" i="2"/>
  <c r="C18" i="2"/>
  <c r="G661" i="1"/>
  <c r="D91" i="2"/>
  <c r="C12" i="10"/>
  <c r="E62" i="2"/>
  <c r="E63" i="2"/>
  <c r="H33" i="13"/>
  <c r="J338" i="1"/>
  <c r="J352" i="1"/>
  <c r="H338" i="1"/>
  <c r="H352" i="1"/>
  <c r="E119" i="2"/>
  <c r="C110" i="2"/>
  <c r="L270" i="1"/>
  <c r="C70" i="2"/>
  <c r="J257" i="1"/>
  <c r="J271" i="1"/>
  <c r="C21" i="10"/>
  <c r="C13" i="10"/>
  <c r="C16" i="10"/>
  <c r="D15" i="13"/>
  <c r="C15" i="13"/>
  <c r="H647" i="1"/>
  <c r="C124" i="2"/>
  <c r="F112" i="1"/>
  <c r="C15" i="10"/>
  <c r="E118" i="2"/>
  <c r="F338" i="1"/>
  <c r="F352" i="1"/>
  <c r="A13" i="12"/>
  <c r="L328" i="1"/>
  <c r="K338" i="1"/>
  <c r="K352" i="1"/>
  <c r="L362" i="1"/>
  <c r="C27" i="10"/>
  <c r="D127" i="2"/>
  <c r="D128" i="2"/>
  <c r="D145" i="2"/>
  <c r="H661" i="1"/>
  <c r="C119" i="2"/>
  <c r="I257" i="1"/>
  <c r="I271" i="1"/>
  <c r="C10" i="10"/>
  <c r="C121" i="2"/>
  <c r="D7" i="13"/>
  <c r="C7" i="13"/>
  <c r="F257" i="1"/>
  <c r="F271" i="1"/>
  <c r="C18" i="10"/>
  <c r="C56" i="2"/>
  <c r="C35" i="10"/>
  <c r="C120" i="2"/>
  <c r="L247" i="1"/>
  <c r="K257" i="1"/>
  <c r="K271" i="1"/>
  <c r="H257" i="1"/>
  <c r="H271" i="1" s="1"/>
  <c r="D5" i="13"/>
  <c r="C5" i="13"/>
  <c r="C17" i="10"/>
  <c r="C115" i="2"/>
  <c r="G257" i="1"/>
  <c r="G271" i="1"/>
  <c r="L211" i="1"/>
  <c r="K500" i="1"/>
  <c r="I460" i="1"/>
  <c r="C78" i="2"/>
  <c r="C81" i="2"/>
  <c r="C16" i="13"/>
  <c r="H112" i="1"/>
  <c r="H193" i="1"/>
  <c r="G629" i="1"/>
  <c r="J629" i="1"/>
  <c r="D29" i="13"/>
  <c r="C29" i="13"/>
  <c r="E8" i="13"/>
  <c r="C8" i="13"/>
  <c r="D12" i="13"/>
  <c r="C12" i="13"/>
  <c r="L290" i="1"/>
  <c r="C26" i="10"/>
  <c r="K503" i="1"/>
  <c r="L382" i="1"/>
  <c r="G636" i="1"/>
  <c r="J636" i="1"/>
  <c r="E109" i="2"/>
  <c r="E115" i="2"/>
  <c r="G81" i="2"/>
  <c r="C62" i="2"/>
  <c r="C63" i="2"/>
  <c r="F661" i="1"/>
  <c r="G112" i="1"/>
  <c r="F662" i="1"/>
  <c r="I662" i="1"/>
  <c r="G625" i="1"/>
  <c r="J625" i="1"/>
  <c r="L337" i="1"/>
  <c r="F62" i="2"/>
  <c r="F63" i="2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C51" i="2" s="1"/>
  <c r="E18" i="2"/>
  <c r="E144" i="2"/>
  <c r="F50" i="2"/>
  <c r="C24" i="10"/>
  <c r="G31" i="13"/>
  <c r="G33" i="13"/>
  <c r="I338" i="1"/>
  <c r="I352" i="1"/>
  <c r="J650" i="1"/>
  <c r="L407" i="1"/>
  <c r="C140" i="2"/>
  <c r="L571" i="1"/>
  <c r="I192" i="1"/>
  <c r="E91" i="2"/>
  <c r="E104" i="2"/>
  <c r="D51" i="2"/>
  <c r="J654" i="1"/>
  <c r="J653" i="1"/>
  <c r="J434" i="1"/>
  <c r="F434" i="1"/>
  <c r="K434" i="1"/>
  <c r="G134" i="2" s="1"/>
  <c r="G144" i="2" s="1"/>
  <c r="G145" i="2" s="1"/>
  <c r="F31" i="13"/>
  <c r="F33" i="13"/>
  <c r="F104" i="2"/>
  <c r="G169" i="1"/>
  <c r="C39" i="10"/>
  <c r="G140" i="1"/>
  <c r="F140" i="1"/>
  <c r="J618" i="1"/>
  <c r="G42" i="2"/>
  <c r="G16" i="2"/>
  <c r="F545" i="1"/>
  <c r="H434" i="1"/>
  <c r="D103" i="2"/>
  <c r="D104" i="2"/>
  <c r="I140" i="1"/>
  <c r="I193" i="1"/>
  <c r="G630" i="1"/>
  <c r="J630" i="1"/>
  <c r="A22" i="12"/>
  <c r="J652" i="1"/>
  <c r="G571" i="1"/>
  <c r="I434" i="1"/>
  <c r="G434" i="1"/>
  <c r="I663" i="1"/>
  <c r="L536" i="1"/>
  <c r="I539" i="1"/>
  <c r="I545" i="1"/>
  <c r="J647" i="1"/>
  <c r="E51" i="2"/>
  <c r="F51" i="2"/>
  <c r="E128" i="2"/>
  <c r="G635" i="1"/>
  <c r="J635" i="1"/>
  <c r="H648" i="1"/>
  <c r="J648" i="1"/>
  <c r="F193" i="1"/>
  <c r="G627" i="1"/>
  <c r="J627" i="1"/>
  <c r="C104" i="2"/>
  <c r="H660" i="1"/>
  <c r="H664" i="1"/>
  <c r="H667" i="1"/>
  <c r="I661" i="1"/>
  <c r="E145" i="2"/>
  <c r="E33" i="13"/>
  <c r="D35" i="13"/>
  <c r="F660" i="1"/>
  <c r="F664" i="1"/>
  <c r="F667" i="1"/>
  <c r="D31" i="13"/>
  <c r="C31" i="13"/>
  <c r="L338" i="1"/>
  <c r="L352" i="1"/>
  <c r="G633" i="1"/>
  <c r="J633" i="1"/>
  <c r="G193" i="1"/>
  <c r="G628" i="1"/>
  <c r="J628" i="1"/>
  <c r="C38" i="10"/>
  <c r="I549" i="1"/>
  <c r="L539" i="1"/>
  <c r="L545" i="1"/>
  <c r="H672" i="1"/>
  <c r="C6" i="10" s="1"/>
  <c r="F672" i="1"/>
  <c r="C4" i="10" s="1"/>
  <c r="I552" i="1"/>
  <c r="K549" i="1"/>
  <c r="K552" i="1"/>
  <c r="D14" i="13" l="1"/>
  <c r="C20" i="10"/>
  <c r="L229" i="1"/>
  <c r="G622" i="1"/>
  <c r="J645" i="1"/>
  <c r="G104" i="2"/>
  <c r="J193" i="1"/>
  <c r="G646" i="1" s="1"/>
  <c r="C36" i="10"/>
  <c r="C41" i="10" s="1"/>
  <c r="J644" i="1"/>
  <c r="F461" i="1"/>
  <c r="H639" i="1" s="1"/>
  <c r="J639" i="1" s="1"/>
  <c r="G47" i="2"/>
  <c r="G50" i="2" s="1"/>
  <c r="I461" i="1"/>
  <c r="H642" i="1" s="1"/>
  <c r="J22" i="1"/>
  <c r="J32" i="1" s="1"/>
  <c r="J52" i="1" s="1"/>
  <c r="H621" i="1" s="1"/>
  <c r="G18" i="2"/>
  <c r="I446" i="1"/>
  <c r="G642" i="1" s="1"/>
  <c r="J19" i="1"/>
  <c r="G621" i="1" s="1"/>
  <c r="G638" i="1"/>
  <c r="J472" i="1"/>
  <c r="L401" i="1"/>
  <c r="L408" i="1" s="1"/>
  <c r="C139" i="2"/>
  <c r="C141" i="2" s="1"/>
  <c r="H646" i="1"/>
  <c r="G637" i="1"/>
  <c r="L257" i="1" l="1"/>
  <c r="L271" i="1" s="1"/>
  <c r="G660" i="1"/>
  <c r="C28" i="10"/>
  <c r="D20" i="10"/>
  <c r="D33" i="13"/>
  <c r="D36" i="13" s="1"/>
  <c r="C14" i="13"/>
  <c r="G631" i="1"/>
  <c r="J468" i="1"/>
  <c r="J470" i="1" s="1"/>
  <c r="J646" i="1"/>
  <c r="D37" i="10"/>
  <c r="D40" i="10"/>
  <c r="D39" i="10"/>
  <c r="D38" i="10"/>
  <c r="D35" i="10"/>
  <c r="D36" i="10"/>
  <c r="H631" i="1"/>
  <c r="J631" i="1" s="1"/>
  <c r="J642" i="1"/>
  <c r="J621" i="1"/>
  <c r="G21" i="2"/>
  <c r="G31" i="2" s="1"/>
  <c r="G51" i="2" s="1"/>
  <c r="J474" i="1"/>
  <c r="H638" i="1"/>
  <c r="J638" i="1" s="1"/>
  <c r="C144" i="2"/>
  <c r="C145" i="2" s="1"/>
  <c r="I660" i="1" l="1"/>
  <c r="I664" i="1" s="1"/>
  <c r="G664" i="1"/>
  <c r="D10" i="10"/>
  <c r="D15" i="10"/>
  <c r="D17" i="10"/>
  <c r="D16" i="10"/>
  <c r="C30" i="10"/>
  <c r="D12" i="10"/>
  <c r="D21" i="10"/>
  <c r="D25" i="10"/>
  <c r="D18" i="10"/>
  <c r="D26" i="10"/>
  <c r="D11" i="10"/>
  <c r="D27" i="10"/>
  <c r="D23" i="10"/>
  <c r="D19" i="10"/>
  <c r="D22" i="10"/>
  <c r="D24" i="10"/>
  <c r="D13" i="10"/>
  <c r="F472" i="1"/>
  <c r="G632" i="1"/>
  <c r="J465" i="1"/>
  <c r="J476" i="1" s="1"/>
  <c r="H626" i="1" s="1"/>
  <c r="H637" i="1"/>
  <c r="J637" i="1" s="1"/>
  <c r="D41" i="10"/>
  <c r="G667" i="1" l="1"/>
  <c r="G672" i="1"/>
  <c r="C5" i="10" s="1"/>
  <c r="H632" i="1"/>
  <c r="J632" i="1" s="1"/>
  <c r="F474" i="1"/>
  <c r="F465" i="1"/>
  <c r="F476" i="1" s="1"/>
  <c r="H622" i="1" s="1"/>
  <c r="J622" i="1" s="1"/>
  <c r="D28" i="10"/>
  <c r="I672" i="1"/>
  <c r="C7" i="10" s="1"/>
  <c r="I667" i="1"/>
  <c r="J626" i="1"/>
  <c r="H656" i="1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<sst xmlns="http://schemas.openxmlformats.org/spreadsheetml/2006/main" count="3968" uniqueCount="924">
  <si>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</si>
  <si>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</si>
  <si>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</si>
  <si>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</si>
  <si>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</si>
  <si>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</si>
  <si>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</si>
  <si>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</si>
  <si>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</si>
  <si>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</si>
  <si>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</si>
  <si>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</si>
  <si>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</si>
  <si>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</si>
  <si>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</si>
  <si>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</si>
  <si>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</si>
  <si>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</si>
  <si>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</si>
  <si>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</si>
  <si>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</si>
  <si>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</si>
  <si>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</si>
  <si>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</si>
  <si>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</si>
  <si>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</si>
  <si>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</si>
  <si>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</si>
  <si>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</si>
  <si>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</si>
  <si>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</si>
  <si>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</si>
  <si>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</si>
  <si>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</si>
  <si>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</si>
  <si>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</si>
  <si>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</si>
  <si>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</si>
  <si>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</si>
  <si>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</si>
  <si>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</si>
  <si>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</si>
  <si>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</si>
  <si>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</si>
  <si>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</si>
  <si>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</si>
  <si>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</si>
  <si>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</si>
  <si>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</si>
  <si>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</si>
  <si>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</si>
  <si>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</si>
  <si>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</si>
  <si>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</si>
  <si>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</si>
  <si>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</si>
  <si>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</si>
  <si>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</si>
  <si>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</si>
  <si>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</si>
  <si>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</si>
  <si>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</si>
  <si>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</si>
  <si>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</si>
  <si>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</si>
  <si>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</si>
  <si>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</si>
  <si>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</si>
  <si>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</si>
  <si>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</si>
  <si>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</si>
  <si>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</si>
  <si>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</si>
  <si>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</si>
  <si>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</si>
  <si>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</si>
  <si>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</si>
  <si>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</si>
  <si>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</si>
  <si>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</si>
  <si>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</si>
  <si>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</si>
  <si>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</si>
  <si>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</si>
  <si>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</si>
  <si>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</si>
  <si>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</si>
  <si>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</si>
  <si>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</si>
  <si>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</si>
  <si>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</si>
  <si>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</si>
  <si>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</si>
  <si>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</si>
  <si>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</si>
  <si>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</si>
  <si>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</si>
  <si>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</si>
  <si>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</si>
  <si>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</si>
  <si>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</si>
  <si>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</si>
  <si>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</si>
  <si>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</si>
  <si>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</si>
  <si>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</si>
  <si>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</si>
  <si>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</si>
  <si>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</si>
  <si>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</si>
  <si>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</si>
  <si>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</si>
  <si>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</si>
  <si>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</si>
  <si>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</si>
  <si>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</si>
  <si>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</si>
  <si>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</si>
  <si>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</si>
  <si>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</si>
  <si>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</si>
  <si>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</si>
  <si>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</si>
  <si>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</si>
  <si>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</si>
  <si>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</si>
  <si>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</si>
  <si>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</si>
  <si>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</si>
  <si>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</si>
  <si>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</si>
  <si>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</si>
  <si>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</si>
  <si>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</si>
  <si>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</si>
  <si>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</si>
  <si>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</si>
  <si>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</si>
  <si>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</si>
  <si>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</si>
  <si>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</si>
  <si>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</si>
  <si>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</si>
  <si>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</si>
  <si>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</si>
  <si>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</si>
  <si>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</si>
  <si>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</si>
  <si>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</si>
  <si>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</si>
  <si>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</si>
  <si>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</si>
  <si>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</si>
  <si>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</si>
  <si>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</si>
  <si>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</si>
  <si>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</si>
  <si>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</si>
  <si>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</si>
  <si>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</si>
  <si>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</si>
  <si>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</si>
  <si>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</si>
  <si>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</si>
  <si>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</si>
  <si>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</si>
  <si>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</si>
  <si>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</si>
  <si>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</si>
  <si>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</si>
  <si>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</si>
  <si>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</si>
  <si>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</si>
  <si>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</si>
  <si>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</si>
  <si>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</si>
  <si>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</si>
  <si>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</si>
  <si>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</si>
  <si>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</si>
  <si>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</si>
  <si>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</si>
  <si>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</si>
  <si>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</si>
  <si>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</si>
  <si>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</si>
  <si>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</si>
  <si>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</si>
  <si>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</si>
  <si>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</si>
  <si>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</si>
  <si>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</si>
  <si>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</si>
  <si>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</si>
  <si>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</si>
  <si>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</si>
  <si>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</si>
  <si>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</si>
  <si>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</si>
  <si>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</si>
  <si>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</si>
  <si>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</si>
  <si>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</si>
  <si>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</si>
  <si>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</si>
  <si>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</si>
  <si>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</si>
  <si>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</si>
  <si>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</si>
  <si>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</si>
  <si>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</si>
  <si>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</si>
  <si>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</si>
  <si>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</si>
  <si>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</si>
  <si>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</si>
  <si>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</si>
  <si>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</si>
  <si>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</si>
  <si>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</si>
  <si>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</si>
  <si>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</si>
  <si>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</si>
  <si>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</si>
  <si>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</si>
  <si>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</si>
  <si>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</si>
  <si>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</si>
  <si>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</si>
  <si>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</si>
  <si>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</si>
  <si>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</si>
  <si>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</si>
  <si>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</si>
  <si>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</si>
  <si>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</si>
  <si>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</si>
  <si>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</si>
  <si>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</si>
  <si>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</si>
  <si>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</si>
  <si>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</si>
  <si>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</si>
  <si>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</si>
  <si>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</si>
  <si>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</si>
  <si>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</si>
  <si>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</si>
  <si>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</si>
  <si>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</si>
  <si>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</si>
  <si>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</si>
  <si>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</si>
  <si>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</si>
  <si>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</si>
  <si>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</si>
  <si>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</si>
  <si>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</si>
  <si>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</si>
  <si>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</si>
  <si>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</si>
  <si>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</si>
  <si>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</si>
  <si>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</si>
  <si>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</si>
  <si>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</si>
  <si>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</si>
  <si>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</si>
  <si>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</si>
  <si>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</si>
  <si>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</si>
  <si>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</si>
  <si>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</si>
  <si>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</si>
  <si>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</si>
  <si>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</si>
  <si>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</si>
  <si>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</si>
  <si>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</si>
  <si>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</si>
  <si>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</si>
  <si>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</si>
  <si>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</si>
  <si>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</si>
  <si>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</si>
  <si>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</si>
  <si>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</si>
  <si>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</si>
  <si>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</si>
  <si>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</si>
  <si>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</si>
  <si>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</si>
  <si>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</si>
  <si>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</si>
  <si>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</si>
  <si>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</si>
  <si>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</si>
  <si>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</si>
  <si>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</si>
  <si>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</si>
  <si>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</si>
  <si>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</si>
  <si>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</si>
  <si>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</si>
  <si>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</si>
  <si>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</si>
  <si>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</si>
  <si>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</si>
  <si>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</si>
  <si>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</si>
  <si>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</si>
  <si>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</si>
  <si>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</si>
  <si>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</si>
  <si>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</si>
  <si>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</si>
  <si>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</si>
  <si>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</si>
  <si>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</si>
  <si>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</si>
  <si>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</si>
  <si>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</si>
  <si>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</si>
  <si>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</si>
  <si>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</si>
  <si>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</si>
  <si>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</si>
  <si>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</si>
  <si>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</si>
  <si>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</si>
  <si>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</si>
  <si>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</si>
  <si>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</si>
  <si>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</si>
  <si>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</si>
  <si>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</si>
  <si>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</si>
  <si>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</si>
  <si>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</si>
  <si>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</si>
  <si>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</si>
  <si>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</si>
  <si>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</si>
  <si>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</si>
  <si>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</si>
  <si>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</si>
  <si>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</si>
  <si>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</si>
  <si>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</si>
  <si>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</si>
  <si>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</si>
  <si>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</si>
  <si>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</si>
  <si>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</si>
  <si>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</si>
  <si>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</si>
  <si>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</si>
  <si>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</si>
  <si>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</si>
  <si>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</si>
  <si>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</si>
  <si>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</si>
  <si>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</si>
  <si>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</si>
  <si>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</si>
  <si>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</si>
  <si>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</si>
  <si>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</si>
  <si>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</si>
  <si>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</si>
  <si>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</si>
  <si>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</si>
  <si>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</si>
  <si>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</si>
  <si>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</si>
  <si>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</si>
  <si>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</si>
  <si>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</si>
  <si>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</si>
  <si>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</si>
  <si>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</si>
  <si>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</si>
  <si>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</si>
  <si>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</si>
  <si>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</si>
  <si>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</si>
  <si>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</si>
  <si>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</si>
  <si>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</si>
  <si>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</si>
  <si>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</si>
  <si>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</si>
  <si>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</si>
  <si>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</si>
  <si>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</si>
  <si>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</si>
  <si>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</si>
  <si>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</si>
  <si>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</si>
  <si>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</si>
  <si>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</si>
  <si>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</si>
  <si>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</si>
  <si>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</si>
  <si>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</si>
  <si>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</si>
  <si>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</si>
  <si>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</si>
  <si>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</si>
  <si>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</si>
  <si>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</si>
  <si>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</si>
  <si>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</si>
  <si>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</si>
  <si>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</si>
  <si>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</si>
  <si>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</si>
  <si>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</si>
  <si>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</si>
  <si>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</si>
  <si>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</si>
  <si>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</si>
  <si>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</si>
  <si>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</si>
  <si>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</si>
  <si>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</si>
  <si>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</si>
  <si>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</si>
  <si>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</si>
  <si>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</si>
  <si>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</si>
  <si>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</si>
  <si>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</si>
  <si>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</si>
  <si>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</si>
  <si>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</si>
  <si>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</si>
  <si>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</si>
  <si>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</si>
  <si>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</si>
  <si>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</si>
  <si>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</si>
  <si>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</si>
  <si>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</si>
  <si>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</si>
  <si>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</si>
  <si>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</si>
  <si>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</si>
  <si>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</si>
  <si>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</si>
  <si>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</si>
  <si>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</si>
  <si>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</si>
  <si>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</si>
  <si>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</si>
  <si>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</si>
  <si>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</si>
  <si>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</si>
  <si>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</si>
  <si>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</si>
  <si>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</si>
  <si>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</si>
  <si>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</si>
  <si>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</si>
  <si>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</si>
  <si>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</si>
  <si>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</si>
  <si>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</si>
  <si>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</si>
  <si>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</si>
  <si>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</si>
  <si>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</si>
  <si>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</si>
  <si>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</si>
  <si>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</si>
  <si>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</si>
  <si>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</si>
  <si>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</si>
  <si>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</si>
  <si>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</si>
  <si>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</si>
  <si>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</si>
  <si>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</si>
  <si>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</si>
  <si>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</si>
  <si>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</si>
  <si>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</si>
  <si>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</si>
  <si>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</si>
  <si>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</si>
  <si>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</si>
  <si>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</si>
  <si>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</si>
  <si>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</si>
  <si>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</si>
  <si>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</si>
  <si>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</si>
  <si>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</si>
  <si>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</si>
  <si>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</si>
  <si>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</si>
  <si>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</si>
  <si>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</si>
  <si>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</si>
  <si>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</si>
  <si>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</si>
  <si>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</si>
  <si>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</si>
  <si>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</si>
  <si>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</si>
  <si>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</si>
  <si>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</si>
  <si>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</si>
  <si>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</si>
  <si>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</si>
  <si>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</si>
  <si>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</si>
  <si>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</si>
  <si>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</si>
  <si>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</si>
  <si>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</si>
  <si>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</si>
  <si>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</si>
  <si>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</si>
  <si>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</si>
  <si>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</si>
  <si>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</si>
  <si>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</si>
  <si>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</si>
  <si>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</si>
  <si>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</si>
  <si>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</si>
  <si>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</si>
  <si>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</si>
  <si>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</si>
  <si>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</si>
  <si>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</si>
  <si>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</si>
  <si>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</si>
  <si>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</si>
  <si>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</si>
  <si>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</si>
  <si>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</si>
  <si>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</si>
  <si>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</si>
  <si>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</si>
  <si>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</si>
  <si>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</si>
  <si>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</si>
  <si>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</si>
  <si>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</si>
  <si>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</si>
  <si>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</si>
  <si>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</si>
  <si>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</si>
  <si>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</si>
  <si>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</si>
  <si>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</si>
  <si>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</si>
  <si>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</si>
  <si>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</si>
  <si>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</si>
  <si>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</si>
  <si>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</si>
  <si>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</si>
  <si>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</si>
  <si>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</si>
  <si>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</si>
  <si>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</si>
  <si>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</si>
  <si>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</si>
  <si>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</si>
  <si>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</si>
  <si>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</si>
  <si>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</si>
  <si>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</si>
  <si>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</si>
  <si>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</si>
  <si>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</si>
  <si>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</si>
  <si>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</si>
  <si>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</si>
  <si>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</si>
  <si>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</si>
  <si>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</si>
  <si>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</si>
  <si>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</si>
  <si>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</si>
  <si>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</si>
  <si>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</si>
  <si>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</si>
  <si>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</si>
  <si>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</si>
  <si>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</si>
  <si>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</si>
  <si>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</si>
  <si>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</si>
  <si>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</si>
  <si>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</si>
  <si>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</si>
  <si>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</si>
  <si>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</si>
  <si>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</si>
  <si>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</si>
  <si>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</si>
  <si>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</si>
  <si>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</si>
  <si>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</si>
  <si>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</si>
  <si>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</si>
  <si>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</si>
  <si>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</si>
  <si>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</si>
  <si>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</si>
  <si>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</si>
  <si>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</si>
  <si>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</si>
  <si>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</si>
  <si>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</si>
  <si>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</si>
  <si>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</si>
  <si>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</si>
  <si>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</si>
  <si>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</si>
  <si>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</si>
  <si>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</si>
  <si>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</si>
  <si>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</si>
  <si>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</si>
  <si>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</si>
  <si>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</si>
  <si>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</si>
  <si>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</si>
  <si>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</si>
  <si>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</si>
  <si>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</si>
  <si>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</si>
  <si>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</si>
  <si>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</si>
  <si>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</si>
  <si>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</si>
  <si>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</si>
  <si>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</si>
  <si>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</si>
  <si>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</si>
  <si>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</si>
  <si>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</si>
  <si>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</si>
  <si>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</si>
  <si>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</si>
  <si>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</si>
  <si>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</si>
  <si>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</si>
  <si>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</si>
  <si>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</si>
  <si>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</si>
  <si>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</si>
  <si>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</si>
  <si>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</si>
  <si>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</si>
  <si>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</si>
  <si>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</si>
  <si>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</si>
  <si>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</si>
  <si>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</si>
  <si>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</si>
  <si>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</si>
  <si>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</si>
  <si>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</si>
  <si>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</si>
  <si>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</si>
  <si>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</si>
  <si>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</si>
  <si>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</si>
  <si>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</si>
  <si>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</si>
  <si>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</si>
  <si>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</si>
  <si>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</si>
  <si>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</si>
  <si>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</si>
  <si>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</si>
  <si>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</si>
  <si>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</si>
  <si>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</si>
  <si>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</si>
  <si>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</si>
  <si>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</si>
  <si>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</si>
  <si>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</si>
  <si>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</si>
  <si>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</si>
  <si>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</si>
  <si>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</si>
  <si>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</si>
  <si>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</si>
  <si>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</si>
  <si>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</si>
  <si>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</si>
  <si>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</si>
  <si>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</si>
  <si>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</si>
  <si>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</si>
  <si>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</si>
  <si>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</si>
  <si>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</si>
  <si>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</si>
  <si>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</si>
  <si>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</si>
  <si>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</si>
  <si>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</si>
  <si>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</si>
  <si>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</si>
  <si>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</si>
  <si>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</si>
  <si>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</si>
  <si>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</si>
  <si>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</si>
  <si>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</si>
  <si>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</si>
  <si>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</si>
  <si>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</si>
  <si>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</si>
  <si>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</si>
  <si>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</si>
  <si>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</si>
  <si>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</si>
  <si>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</si>
  <si>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</si>
  <si>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</si>
  <si>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</si>
  <si>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</si>
  <si>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</si>
  <si>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</si>
  <si>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</si>
  <si>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</si>
  <si>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</si>
  <si>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</si>
  <si>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</si>
  <si>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</si>
  <si>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</si>
  <si>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</si>
  <si>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</si>
  <si>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</si>
  <si>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</si>
  <si>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</si>
  <si>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</si>
  <si>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</si>
  <si>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</si>
  <si>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</si>
  <si>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</si>
  <si>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</si>
  <si>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</si>
  <si>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</si>
  <si>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</si>
  <si>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</si>
  <si>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</si>
  <si>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</si>
  <si>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</si>
  <si>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</si>
  <si>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</si>
  <si>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</si>
  <si>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</si>
  <si>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</si>
  <si>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</si>
  <si>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</si>
  <si>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</si>
  <si>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</si>
  <si>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</si>
  <si>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</si>
  <si>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</si>
  <si>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</si>
  <si>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</si>
  <si>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</si>
  <si>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</si>
  <si>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</si>
  <si>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</si>
  <si>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</si>
  <si>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</si>
  <si>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</si>
  <si>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</si>
  <si>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</si>
  <si>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</si>
  <si>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</si>
  <si>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</si>
  <si>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</si>
  <si>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</si>
  <si>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</si>
  <si>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</si>
  <si>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</si>
  <si>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</si>
  <si>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</si>
  <si>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</si>
  <si>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</si>
  <si>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</si>
  <si>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</si>
  <si>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</si>
  <si>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</si>
  <si>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</si>
  <si>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</si>
  <si>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</si>
  <si>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</si>
  <si>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</si>
  <si>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</si>
  <si>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</si>
  <si>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</si>
  <si>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</si>
  <si>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</si>
  <si>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</si>
  <si>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</si>
  <si>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</si>
  <si>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</si>
  <si>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</si>
  <si>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</si>
  <si>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</si>
  <si>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</si>
  <si>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</si>
  <si>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</si>
  <si>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</si>
  <si>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</si>
  <si>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</si>
  <si>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</si>
  <si>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</si>
  <si>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</si>
  <si>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</si>
  <si>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</si>
  <si>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</si>
  <si>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</si>
  <si>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</si>
  <si>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</si>
  <si>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</si>
  <si>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</si>
  <si>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</si>
  <si>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</si>
  <si>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</si>
  <si>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</si>
  <si>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</si>
  <si>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</si>
  <si>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</si>
  <si>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</si>
  <si>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</si>
  <si>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</si>
  <si>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</si>
  <si>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</si>
  <si>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</si>
  <si>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</si>
  <si>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</si>
  <si>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</si>
  <si>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</si>
  <si>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</si>
  <si>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</si>
  <si>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</si>
  <si>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</si>
  <si>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</si>
  <si>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</si>
  <si>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</si>
  <si>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</si>
  <si>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</si>
  <si>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</si>
  <si>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</si>
  <si>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</si>
  <si>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</si>
  <si>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</si>
  <si>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</si>
  <si>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</si>
  <si>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</si>
  <si>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</si>
  <si>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</si>
  <si>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</si>
  <si>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</si>
  <si>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</si>
  <si>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</si>
  <si>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</si>
  <si>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</si>
  <si>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</si>
  <si>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</si>
  <si>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</si>
  <si>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</si>
  <si>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</si>
  <si>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</si>
  <si>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</si>
  <si>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</si>
  <si>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</si>
  <si>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</si>
  <si>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</si>
  <si>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</si>
  <si>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</si>
  <si>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</si>
  <si>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</si>
  <si>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</si>
  <si>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</si>
  <si>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</si>
  <si>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</si>
  <si>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</si>
  <si>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</si>
  <si>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</si>
  <si>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</si>
  <si>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</si>
  <si>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</si>
  <si>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</si>
  <si>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</si>
  <si>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</si>
  <si>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</si>
  <si>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</si>
  <si>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</si>
  <si>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</si>
  <si>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</si>
  <si>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</si>
  <si>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</si>
  <si>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</si>
  <si>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</si>
  <si>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</si>
  <si>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08/06</t>
  </si>
  <si>
    <t>11/10</t>
  </si>
  <si>
    <t>08/26</t>
  </si>
  <si>
    <t>7/25</t>
  </si>
  <si>
    <t xml:space="preserve">Cost per pupil increased approximately 3.5% from prior year.  </t>
  </si>
  <si>
    <t xml:space="preserve">General Fund expenditures were overall up 2.9% or $1,094,096 from prior year. </t>
  </si>
  <si>
    <t>Kearsarge Regional School District</t>
  </si>
  <si>
    <t xml:space="preserve"> (Wages and Fringe make up 55% of the increase)</t>
  </si>
  <si>
    <t>Special Rev Fund expenditures were down 6.6% or ($64,378) from prior year.</t>
  </si>
  <si>
    <t>Up 7.9% from Prior year in the amount of $106,419 in out of district tuition.</t>
  </si>
  <si>
    <t>Transportation was down .004% or ($10,398) from prior year.</t>
  </si>
  <si>
    <t>Capital Items were down 3.3% or ($16,351) from prior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</si>
</sst>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4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" fillId="0" borderId="0" xfId="0" quotePrefix="1" applyNumberFormat="1" applyFont="1" applyAlignment="1" applyProtection="1">
      <alignment horizontal="center"/>
      <protection locked="0"/>
    </xf>
    <xf numFmtId="49" fontId="2" fillId="0" borderId="0" xfId="0" quotePrefix="1" applyNumberFormat="1" applyFont="1" applyAlignment="1" applyProtection="1">
      <alignment horizontal="center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43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918</v>
      </c>
      <c r="B2" s="21">
        <v>276</v>
      </c>
      <c r="C2" s="21">
        <v>0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1708580.48</v>
      </c>
      <c r="G9" s="18"/>
      <c r="H9" s="18"/>
      <c r="I9" s="18">
        <v>154192.46</v>
      </c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v>3299205.71</v>
      </c>
      <c r="G10" s="18">
        <f>281069.37</f>
        <v>281069.37</v>
      </c>
      <c r="H10" s="18"/>
      <c r="I10" s="18"/>
      <c r="J10" s="67">
        <f>SUM(I440)</f>
        <v>2068546.35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f>171679.53+363635.89+45732</f>
        <v>581047.42000000004</v>
      </c>
      <c r="G12" s="18">
        <f>30330.57+26285.64</f>
        <v>56616.21</v>
      </c>
      <c r="H12" s="18">
        <f>2737.44+279595.16+571.41</f>
        <v>282904.00999999995</v>
      </c>
      <c r="I12" s="18"/>
      <c r="J12" s="67">
        <f>SUM(I441)</f>
        <v>41248.04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f>544472.3</f>
        <v>544472.30000000005</v>
      </c>
      <c r="G13" s="18">
        <f>341475.95-281069.37-17758.51</f>
        <v>42648.070000000022</v>
      </c>
      <c r="H13" s="18">
        <f>251444.85+155222.52</f>
        <v>406667.37</v>
      </c>
      <c r="I13" s="18"/>
      <c r="J13" s="67">
        <f>SUM(I442)</f>
        <v>10500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>
        <f>6823.69+7829.92+13945.26+729.13+12341.52+13943.53+1905.09</f>
        <v>57518.14</v>
      </c>
      <c r="G16" s="18">
        <v>17758.509999999998</v>
      </c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17376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6208200.0499999989</v>
      </c>
      <c r="G19" s="41">
        <f>SUM(G9:G18)</f>
        <v>398092.16000000003</v>
      </c>
      <c r="H19" s="41">
        <f>SUM(H9:H18)</f>
        <v>689571.37999999989</v>
      </c>
      <c r="I19" s="41">
        <f>SUM(I9:I18)</f>
        <v>154192.46</v>
      </c>
      <c r="J19" s="41">
        <f>SUM(J9:J18)</f>
        <v>2120294.39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f>279595.16+41248.04</f>
        <v>320843.19999999995</v>
      </c>
      <c r="G22" s="18">
        <v>363635.89</v>
      </c>
      <c r="H22" s="18">
        <f>171679.53+33068.01+571.41+26285.64</f>
        <v>231604.59000000003</v>
      </c>
      <c r="I22" s="18">
        <v>45732</v>
      </c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f>249063.19-81.88</f>
        <v>248981.31</v>
      </c>
      <c r="G24" s="18">
        <v>14.5</v>
      </c>
      <c r="H24" s="18">
        <f>82.92+5930</f>
        <v>6012.92</v>
      </c>
      <c r="I24" s="18"/>
      <c r="J24" s="67">
        <f>SUM(I450)</f>
        <v>51746.04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f>1321884.48+72439.95</f>
        <v>1394324.43</v>
      </c>
      <c r="G28" s="18"/>
      <c r="H28" s="18">
        <f>42933.34</f>
        <v>42933.34</v>
      </c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f>27715.28+1250+230.52-2067.4-3621.11-846.88</f>
        <v>22660.409999999996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f>25213.71</f>
        <v>25213.71</v>
      </c>
      <c r="G30" s="18">
        <v>16683.259999999998</v>
      </c>
      <c r="H30" s="18">
        <v>314936.21000000002</v>
      </c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2012023.0599999998</v>
      </c>
      <c r="G32" s="41">
        <f>SUM(G22:G31)</f>
        <v>380333.65</v>
      </c>
      <c r="H32" s="41">
        <f>SUM(H22:H31)</f>
        <v>595487.06000000006</v>
      </c>
      <c r="I32" s="41">
        <f>SUM(I22:I31)</f>
        <v>45732</v>
      </c>
      <c r="J32" s="41">
        <f>SUM(J22:J31)</f>
        <v>51746.04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>
        <f>6823.69+7829.92+13945.26+729.13+12341.52+13943.53+1905.09</f>
        <v>57518.14</v>
      </c>
      <c r="G35" s="18">
        <v>17758.509999999998</v>
      </c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v>17376</v>
      </c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75000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>
        <v>1134635.8899999999</v>
      </c>
      <c r="G45" s="18"/>
      <c r="H45" s="18">
        <v>94084.32</v>
      </c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840826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>
        <f>106451.5+2008.96</f>
        <v>108460.46</v>
      </c>
      <c r="J48" s="13">
        <f>SUM(I459)</f>
        <v>2068548.35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f>2885147.99+26417.09-840826+81.88</f>
        <v>2070820.96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4196176.99</v>
      </c>
      <c r="G51" s="41">
        <f>SUM(G35:G50)</f>
        <v>17758.509999999998</v>
      </c>
      <c r="H51" s="41">
        <f>SUM(H35:H50)</f>
        <v>94084.32</v>
      </c>
      <c r="I51" s="41">
        <f>SUM(I35:I50)</f>
        <v>108460.46</v>
      </c>
      <c r="J51" s="41">
        <f>SUM(J35:J50)</f>
        <v>2068548.35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6208200.0499999998</v>
      </c>
      <c r="G52" s="41">
        <f>G51+G32</f>
        <v>398092.16000000003</v>
      </c>
      <c r="H52" s="41">
        <f>H51+H32</f>
        <v>689571.38000000012</v>
      </c>
      <c r="I52" s="41">
        <f>I51+I32</f>
        <v>154192.46000000002</v>
      </c>
      <c r="J52" s="41">
        <f>J51+J32</f>
        <v>2120294.39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26893936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26893936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62534.94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>
        <v>8005.12</v>
      </c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88669.64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28327.34</v>
      </c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187537.04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112396.5</v>
      </c>
      <c r="G96" s="18">
        <v>5061.7299999999996</v>
      </c>
      <c r="H96" s="18"/>
      <c r="I96" s="18">
        <v>2008.96</v>
      </c>
      <c r="J96" s="18">
        <v>17051.669999999998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356376.44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14265.43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>
        <v>725</v>
      </c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46441.46</v>
      </c>
      <c r="G110" s="18">
        <v>37359.11</v>
      </c>
      <c r="H110" s="18">
        <v>29096.18</v>
      </c>
      <c r="I110" s="18"/>
      <c r="J110" s="18">
        <v>35322.129999999997</v>
      </c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173828.38999999998</v>
      </c>
      <c r="G111" s="41">
        <f>SUM(G96:G110)</f>
        <v>398797.27999999997</v>
      </c>
      <c r="H111" s="41">
        <f>SUM(H96:H110)</f>
        <v>29096.18</v>
      </c>
      <c r="I111" s="41">
        <f>SUM(I96:I110)</f>
        <v>2008.96</v>
      </c>
      <c r="J111" s="41">
        <f>SUM(J96:J110)</f>
        <v>52373.799999999996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27255301.43</v>
      </c>
      <c r="G112" s="41">
        <f>G60+G111</f>
        <v>398797.27999999997</v>
      </c>
      <c r="H112" s="41">
        <f>H60+H79+H94+H111</f>
        <v>29096.18</v>
      </c>
      <c r="I112" s="41">
        <f>I60+I111</f>
        <v>2008.96</v>
      </c>
      <c r="J112" s="41">
        <f>J60+J111</f>
        <v>52373.799999999996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2964248.58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6739097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5842.95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9709188.5299999993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703231.57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612577.64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36767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6503.99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1352576.21</v>
      </c>
      <c r="G136" s="41">
        <f>SUM(G123:G135)</f>
        <v>6503.99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11061764.739999998</v>
      </c>
      <c r="G140" s="41">
        <f>G121+SUM(G136:G137)</f>
        <v>6503.99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243385.79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76379.98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>
        <v>55229.98</v>
      </c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200397.02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496403.6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238187.44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238187.44</v>
      </c>
      <c r="G162" s="41">
        <f>SUM(G150:G161)</f>
        <v>200397.02</v>
      </c>
      <c r="H162" s="41">
        <f>SUM(H150:H161)</f>
        <v>871399.35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238187.44</v>
      </c>
      <c r="G169" s="41">
        <f>G147+G162+SUM(G163:G168)</f>
        <v>200397.02</v>
      </c>
      <c r="H169" s="41">
        <f>H147+H162+SUM(H163:H168)</f>
        <v>871399.35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>
        <v>51554.17</v>
      </c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51554.17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10032.01</v>
      </c>
      <c r="H179" s="18"/>
      <c r="I179" s="18"/>
      <c r="J179" s="18">
        <v>75000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10032.01</v>
      </c>
      <c r="H183" s="41">
        <f>SUM(H179:H182)</f>
        <v>0</v>
      </c>
      <c r="I183" s="41">
        <f>SUM(I179:I182)</f>
        <v>0</v>
      </c>
      <c r="J183" s="41">
        <f>SUM(J179:J182)</f>
        <v>75000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51554.17</v>
      </c>
      <c r="G192" s="41">
        <f>G183+SUM(G188:G191)</f>
        <v>10032.01</v>
      </c>
      <c r="H192" s="41">
        <f>+H183+SUM(H188:H191)</f>
        <v>0</v>
      </c>
      <c r="I192" s="41">
        <f>I177+I183+SUM(I188:I191)</f>
        <v>0</v>
      </c>
      <c r="J192" s="41">
        <f>J183</f>
        <v>75000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38606807.780000001</v>
      </c>
      <c r="G193" s="47">
        <f>G112+G140+G169+G192</f>
        <v>615730.29999999993</v>
      </c>
      <c r="H193" s="47">
        <f>H112+H140+H169+H192</f>
        <v>900495.53</v>
      </c>
      <c r="I193" s="47">
        <f>I112+I140+I169+I192</f>
        <v>2008.96</v>
      </c>
      <c r="J193" s="47">
        <f>J112+J140+J192</f>
        <v>127373.79999999999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3567021.01</v>
      </c>
      <c r="G197" s="18">
        <v>2238787.09</v>
      </c>
      <c r="H197" s="18">
        <v>142488.74</v>
      </c>
      <c r="I197" s="18">
        <v>311696.21999999997</v>
      </c>
      <c r="J197" s="18">
        <v>146746.34</v>
      </c>
      <c r="K197" s="18"/>
      <c r="L197" s="19">
        <f>SUM(F197:K197)</f>
        <v>6406739.3999999994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1912415.64</v>
      </c>
      <c r="G198" s="18">
        <v>798813.91</v>
      </c>
      <c r="H198" s="18">
        <v>71979.460000000006</v>
      </c>
      <c r="I198" s="18">
        <v>32493.88</v>
      </c>
      <c r="J198" s="18"/>
      <c r="K198" s="18"/>
      <c r="L198" s="19">
        <f>SUM(F198:K198)</f>
        <v>2815702.8899999997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5763.45</v>
      </c>
      <c r="G200" s="18">
        <v>1331.18</v>
      </c>
      <c r="H200" s="18"/>
      <c r="I200" s="18">
        <v>200</v>
      </c>
      <c r="J200" s="18"/>
      <c r="K200" s="18"/>
      <c r="L200" s="19">
        <f>SUM(F200:K200)</f>
        <v>7294.63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478110.24</v>
      </c>
      <c r="G202" s="18">
        <v>253148.65</v>
      </c>
      <c r="H202" s="18">
        <v>1126.71</v>
      </c>
      <c r="I202" s="18">
        <v>5547.92</v>
      </c>
      <c r="J202" s="18"/>
      <c r="K202" s="18"/>
      <c r="L202" s="19">
        <f t="shared" ref="L202:L208" si="0">SUM(F202:K202)</f>
        <v>737933.52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166239.10999999999</v>
      </c>
      <c r="G203" s="18">
        <v>111595.02</v>
      </c>
      <c r="H203" s="18">
        <v>24686.560000000001</v>
      </c>
      <c r="I203" s="18">
        <v>16526.68</v>
      </c>
      <c r="J203" s="18">
        <v>971.6</v>
      </c>
      <c r="K203" s="18"/>
      <c r="L203" s="19">
        <f t="shared" si="0"/>
        <v>320018.96999999997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409733.97</v>
      </c>
      <c r="G204" s="18">
        <v>188478.79</v>
      </c>
      <c r="H204" s="18">
        <v>143828.10999999999</v>
      </c>
      <c r="I204" s="18">
        <v>13286.31</v>
      </c>
      <c r="J204" s="18">
        <v>2995.26</v>
      </c>
      <c r="K204" s="18">
        <v>7540.13</v>
      </c>
      <c r="L204" s="19">
        <f t="shared" si="0"/>
        <v>765862.57000000007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518199.14</v>
      </c>
      <c r="G205" s="18">
        <v>257628.25</v>
      </c>
      <c r="H205" s="18">
        <v>43742.61</v>
      </c>
      <c r="I205" s="18">
        <v>3404.18</v>
      </c>
      <c r="J205" s="18">
        <v>2564.61</v>
      </c>
      <c r="K205" s="18">
        <v>2423</v>
      </c>
      <c r="L205" s="19">
        <f t="shared" si="0"/>
        <v>827961.79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287890.37</v>
      </c>
      <c r="G207" s="18">
        <v>152244.49</v>
      </c>
      <c r="H207" s="18">
        <v>604390.97</v>
      </c>
      <c r="I207" s="18">
        <v>242700.27</v>
      </c>
      <c r="J207" s="18">
        <v>3114</v>
      </c>
      <c r="K207" s="18"/>
      <c r="L207" s="19">
        <f t="shared" si="0"/>
        <v>1290340.0999999999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944627.98</v>
      </c>
      <c r="I208" s="18">
        <v>77273.7</v>
      </c>
      <c r="J208" s="18"/>
      <c r="K208" s="18"/>
      <c r="L208" s="19">
        <f t="shared" si="0"/>
        <v>1021901.6799999999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7345372.9299999997</v>
      </c>
      <c r="G211" s="41">
        <f t="shared" si="1"/>
        <v>4002027.38</v>
      </c>
      <c r="H211" s="41">
        <f t="shared" si="1"/>
        <v>1976871.14</v>
      </c>
      <c r="I211" s="41">
        <f t="shared" si="1"/>
        <v>703129.15999999992</v>
      </c>
      <c r="J211" s="41">
        <f t="shared" si="1"/>
        <v>156391.81</v>
      </c>
      <c r="K211" s="41">
        <f t="shared" si="1"/>
        <v>9963.130000000001</v>
      </c>
      <c r="L211" s="41">
        <f t="shared" si="1"/>
        <v>14193755.549999999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v>3617766.85</v>
      </c>
      <c r="G215" s="18">
        <v>1386259.65</v>
      </c>
      <c r="H215" s="18">
        <v>158166.25</v>
      </c>
      <c r="I215" s="18">
        <v>102411.9</v>
      </c>
      <c r="J215" s="18">
        <v>61245.53</v>
      </c>
      <c r="K215" s="18">
        <v>5819.5</v>
      </c>
      <c r="L215" s="19">
        <f>SUM(F215:K215)</f>
        <v>5331669.6800000006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v>914188.06</v>
      </c>
      <c r="G216" s="18">
        <v>347102.87</v>
      </c>
      <c r="H216" s="18">
        <v>145546.66</v>
      </c>
      <c r="I216" s="18">
        <v>8600.93</v>
      </c>
      <c r="J216" s="18"/>
      <c r="K216" s="18">
        <v>3837.72</v>
      </c>
      <c r="L216" s="19">
        <f>SUM(F216:K216)</f>
        <v>1419276.24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90143.26</v>
      </c>
      <c r="G218" s="18">
        <v>17486.27</v>
      </c>
      <c r="H218" s="18">
        <v>5741</v>
      </c>
      <c r="I218" s="18">
        <v>537.5</v>
      </c>
      <c r="J218" s="18">
        <v>5015.3500000000004</v>
      </c>
      <c r="K218" s="18">
        <v>3436</v>
      </c>
      <c r="L218" s="19">
        <f>SUM(F218:K218)</f>
        <v>122359.38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v>254275.36</v>
      </c>
      <c r="G220" s="18">
        <v>152178.76999999999</v>
      </c>
      <c r="H220" s="18">
        <v>110</v>
      </c>
      <c r="I220" s="18">
        <v>3334.79</v>
      </c>
      <c r="J220" s="18"/>
      <c r="K220" s="18"/>
      <c r="L220" s="19">
        <f t="shared" ref="L220:L226" si="2">SUM(F220:K220)</f>
        <v>409898.92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v>77748</v>
      </c>
      <c r="G221" s="18">
        <v>51832.72</v>
      </c>
      <c r="H221" s="18">
        <v>13293.36</v>
      </c>
      <c r="I221" s="18">
        <v>2127.3000000000002</v>
      </c>
      <c r="J221" s="18"/>
      <c r="K221" s="18"/>
      <c r="L221" s="19">
        <f t="shared" si="2"/>
        <v>145001.38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223491.25</v>
      </c>
      <c r="G222" s="18">
        <v>102806.59</v>
      </c>
      <c r="H222" s="18">
        <v>78451.679999999993</v>
      </c>
      <c r="I222" s="18">
        <v>7247.08</v>
      </c>
      <c r="J222" s="18">
        <v>1633.78</v>
      </c>
      <c r="K222" s="18">
        <v>4112.82</v>
      </c>
      <c r="L222" s="19">
        <f t="shared" si="2"/>
        <v>417743.2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281532.21000000002</v>
      </c>
      <c r="G223" s="18">
        <v>154422.85</v>
      </c>
      <c r="H223" s="18">
        <v>32066.34</v>
      </c>
      <c r="I223" s="18"/>
      <c r="J223" s="18"/>
      <c r="K223" s="18">
        <v>3526.5</v>
      </c>
      <c r="L223" s="19">
        <f t="shared" si="2"/>
        <v>471547.90000000008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v>216821.73</v>
      </c>
      <c r="G225" s="18">
        <v>113056.74</v>
      </c>
      <c r="H225" s="18">
        <f>341546.94-81.88</f>
        <v>341465.06</v>
      </c>
      <c r="I225" s="18">
        <v>220403.7</v>
      </c>
      <c r="J225" s="18">
        <v>13999.75</v>
      </c>
      <c r="K225" s="18"/>
      <c r="L225" s="19">
        <f t="shared" si="2"/>
        <v>905746.98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>
        <v>482017.26</v>
      </c>
      <c r="I226" s="18">
        <v>42149.29</v>
      </c>
      <c r="J226" s="18"/>
      <c r="K226" s="18"/>
      <c r="L226" s="19">
        <f t="shared" si="2"/>
        <v>524166.55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5675966.7200000007</v>
      </c>
      <c r="G229" s="41">
        <f>SUM(G215:G228)</f>
        <v>2325146.4600000004</v>
      </c>
      <c r="H229" s="41">
        <f>SUM(H215:H228)</f>
        <v>1256857.6100000001</v>
      </c>
      <c r="I229" s="41">
        <f>SUM(I215:I228)</f>
        <v>386812.49</v>
      </c>
      <c r="J229" s="41">
        <f>SUM(J215:J228)</f>
        <v>81894.41</v>
      </c>
      <c r="K229" s="41">
        <f t="shared" si="3"/>
        <v>20732.54</v>
      </c>
      <c r="L229" s="41">
        <f t="shared" si="3"/>
        <v>9747410.2300000023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2982692.9</v>
      </c>
      <c r="G233" s="18">
        <v>1563871.53</v>
      </c>
      <c r="H233" s="18">
        <v>108725.4</v>
      </c>
      <c r="I233" s="18">
        <v>162933.04999999999</v>
      </c>
      <c r="J233" s="18">
        <v>174418.99</v>
      </c>
      <c r="K233" s="18">
        <v>11462.45</v>
      </c>
      <c r="L233" s="19">
        <f>SUM(F233:K233)</f>
        <v>5004104.32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817420.51</v>
      </c>
      <c r="G234" s="18">
        <v>314335.28999999998</v>
      </c>
      <c r="H234" s="18">
        <v>1385832.47</v>
      </c>
      <c r="I234" s="18">
        <v>8987.92</v>
      </c>
      <c r="J234" s="18"/>
      <c r="K234" s="18"/>
      <c r="L234" s="19">
        <f>SUM(F234:K234)</f>
        <v>2526576.19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>
        <v>104884.89</v>
      </c>
      <c r="I235" s="18"/>
      <c r="J235" s="18"/>
      <c r="K235" s="18"/>
      <c r="L235" s="19">
        <f>SUM(F235:K235)</f>
        <v>104884.89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190455.98</v>
      </c>
      <c r="G236" s="18">
        <v>31823.54</v>
      </c>
      <c r="H236" s="18">
        <v>49613.49</v>
      </c>
      <c r="I236" s="18">
        <v>24184.77</v>
      </c>
      <c r="J236" s="18">
        <v>32661.15</v>
      </c>
      <c r="K236" s="18">
        <v>28911.91</v>
      </c>
      <c r="L236" s="19">
        <f>SUM(F236:K236)</f>
        <v>357650.84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346127.2</v>
      </c>
      <c r="G238" s="18">
        <v>164019.62</v>
      </c>
      <c r="H238" s="18">
        <v>3195.76</v>
      </c>
      <c r="I238" s="18">
        <v>7226.78</v>
      </c>
      <c r="J238" s="18">
        <v>74</v>
      </c>
      <c r="K238" s="18">
        <v>109</v>
      </c>
      <c r="L238" s="19">
        <f t="shared" ref="L238:L244" si="4">SUM(F238:K238)</f>
        <v>520752.36000000004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81878.38</v>
      </c>
      <c r="G239" s="18">
        <v>50883.25</v>
      </c>
      <c r="H239" s="18">
        <v>17926.47</v>
      </c>
      <c r="I239" s="18">
        <v>13769.5</v>
      </c>
      <c r="J239" s="18">
        <v>10498.41</v>
      </c>
      <c r="K239" s="18"/>
      <c r="L239" s="19">
        <f t="shared" si="4"/>
        <v>174956.01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297988.34999999998</v>
      </c>
      <c r="G240" s="18">
        <v>137075.49</v>
      </c>
      <c r="H240" s="18">
        <v>104602.27</v>
      </c>
      <c r="I240" s="18">
        <v>9662.77</v>
      </c>
      <c r="J240" s="18">
        <v>2178.37</v>
      </c>
      <c r="K240" s="18">
        <v>5483.73</v>
      </c>
      <c r="L240" s="19">
        <f t="shared" si="4"/>
        <v>556990.98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528630.88</v>
      </c>
      <c r="G241" s="18">
        <v>304751.67</v>
      </c>
      <c r="H241" s="18">
        <v>33826.559999999998</v>
      </c>
      <c r="I241" s="18">
        <v>18760.23</v>
      </c>
      <c r="J241" s="18"/>
      <c r="K241" s="18">
        <v>5939.01</v>
      </c>
      <c r="L241" s="19">
        <f t="shared" si="4"/>
        <v>891908.35000000009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209368.35</v>
      </c>
      <c r="G243" s="18">
        <v>115440.42</v>
      </c>
      <c r="H243" s="18">
        <v>925431.36</v>
      </c>
      <c r="I243" s="18">
        <v>284208.84999999998</v>
      </c>
      <c r="J243" s="18">
        <v>3947.75</v>
      </c>
      <c r="K243" s="18"/>
      <c r="L243" s="19">
        <f t="shared" si="4"/>
        <v>1538396.73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737300.33</v>
      </c>
      <c r="I244" s="18">
        <v>56199.06</v>
      </c>
      <c r="J244" s="18"/>
      <c r="K244" s="18"/>
      <c r="L244" s="19">
        <f t="shared" si="4"/>
        <v>793499.3899999999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5454562.5499999989</v>
      </c>
      <c r="G247" s="41">
        <f t="shared" si="5"/>
        <v>2682200.8099999996</v>
      </c>
      <c r="H247" s="41">
        <f t="shared" si="5"/>
        <v>3471339</v>
      </c>
      <c r="I247" s="41">
        <f t="shared" si="5"/>
        <v>585932.92999999993</v>
      </c>
      <c r="J247" s="41">
        <f t="shared" si="5"/>
        <v>223778.66999999998</v>
      </c>
      <c r="K247" s="41">
        <f t="shared" si="5"/>
        <v>51906.1</v>
      </c>
      <c r="L247" s="41">
        <f t="shared" si="5"/>
        <v>12469720.060000001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>
        <v>13000</v>
      </c>
      <c r="G251" s="18">
        <v>3325.79</v>
      </c>
      <c r="H251" s="18"/>
      <c r="I251" s="18"/>
      <c r="J251" s="18"/>
      <c r="K251" s="18"/>
      <c r="L251" s="19">
        <f t="shared" si="6"/>
        <v>16325.79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13000</v>
      </c>
      <c r="G256" s="41">
        <f t="shared" si="7"/>
        <v>3325.79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16325.79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18488902.199999999</v>
      </c>
      <c r="G257" s="41">
        <f t="shared" si="8"/>
        <v>9012700.4399999976</v>
      </c>
      <c r="H257" s="41">
        <f t="shared" si="8"/>
        <v>6705067.75</v>
      </c>
      <c r="I257" s="41">
        <f t="shared" si="8"/>
        <v>1675874.5799999998</v>
      </c>
      <c r="J257" s="41">
        <f t="shared" si="8"/>
        <v>462064.89</v>
      </c>
      <c r="K257" s="41">
        <f t="shared" si="8"/>
        <v>82601.77</v>
      </c>
      <c r="L257" s="41">
        <f t="shared" si="8"/>
        <v>36427211.630000003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1269593.56</v>
      </c>
      <c r="L260" s="19">
        <f>SUM(F260:K260)</f>
        <v>1269593.56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798471.61</v>
      </c>
      <c r="L261" s="19">
        <f>SUM(F261:K261)</f>
        <v>798471.61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10032.01</v>
      </c>
      <c r="L263" s="19">
        <f>SUM(F263:K263)</f>
        <v>10032.01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75000</v>
      </c>
      <c r="L266" s="19">
        <f t="shared" si="9"/>
        <v>75000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2153097.1799999997</v>
      </c>
      <c r="L270" s="41">
        <f t="shared" si="9"/>
        <v>2153097.1799999997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18488902.199999999</v>
      </c>
      <c r="G271" s="42">
        <f t="shared" si="11"/>
        <v>9012700.4399999976</v>
      </c>
      <c r="H271" s="42">
        <f t="shared" si="11"/>
        <v>6705067.75</v>
      </c>
      <c r="I271" s="42">
        <f t="shared" si="11"/>
        <v>1675874.5799999998</v>
      </c>
      <c r="J271" s="42">
        <f t="shared" si="11"/>
        <v>462064.89</v>
      </c>
      <c r="K271" s="42">
        <f t="shared" si="11"/>
        <v>2235698.9499999997</v>
      </c>
      <c r="L271" s="42">
        <f t="shared" si="11"/>
        <v>38580308.810000002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155788.44</v>
      </c>
      <c r="G276" s="18">
        <v>41848.949999999997</v>
      </c>
      <c r="H276" s="18">
        <v>14064.95</v>
      </c>
      <c r="I276" s="18">
        <v>38784.19</v>
      </c>
      <c r="J276" s="18">
        <v>2125.42</v>
      </c>
      <c r="K276" s="18"/>
      <c r="L276" s="19">
        <f>SUM(F276:K276)</f>
        <v>252611.95000000004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>
        <v>26681.98</v>
      </c>
      <c r="J277" s="18">
        <v>4597.08</v>
      </c>
      <c r="K277" s="18"/>
      <c r="L277" s="19">
        <f>SUM(F277:K277)</f>
        <v>31279.059999999998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5565</v>
      </c>
      <c r="G279" s="18">
        <v>457.31</v>
      </c>
      <c r="H279" s="18"/>
      <c r="I279" s="18"/>
      <c r="J279" s="18"/>
      <c r="K279" s="18"/>
      <c r="L279" s="19">
        <f>SUM(F279:K279)</f>
        <v>6022.31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>
        <v>1984.78</v>
      </c>
      <c r="I281" s="18"/>
      <c r="J281" s="18"/>
      <c r="K281" s="18"/>
      <c r="L281" s="19">
        <f t="shared" ref="L281:L287" si="12">SUM(F281:K281)</f>
        <v>1984.78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22678.43</v>
      </c>
      <c r="G282" s="18">
        <v>11401.86</v>
      </c>
      <c r="H282" s="18">
        <v>22769.439999999999</v>
      </c>
      <c r="I282" s="18"/>
      <c r="J282" s="18"/>
      <c r="K282" s="18"/>
      <c r="L282" s="19">
        <f t="shared" si="12"/>
        <v>56849.729999999996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>
        <v>12500</v>
      </c>
      <c r="I284" s="18"/>
      <c r="J284" s="18"/>
      <c r="K284" s="18"/>
      <c r="L284" s="19">
        <f t="shared" si="12"/>
        <v>12500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>
        <v>102.85</v>
      </c>
      <c r="J287" s="18"/>
      <c r="K287" s="18"/>
      <c r="L287" s="19">
        <f t="shared" si="12"/>
        <v>102.85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>
        <v>13367.65</v>
      </c>
      <c r="L288" s="19">
        <f>SUM(F288:K288)</f>
        <v>13367.65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184031.87</v>
      </c>
      <c r="G290" s="42">
        <f t="shared" si="13"/>
        <v>53708.119999999995</v>
      </c>
      <c r="H290" s="42">
        <f t="shared" si="13"/>
        <v>51319.17</v>
      </c>
      <c r="I290" s="42">
        <f t="shared" si="13"/>
        <v>65569.02</v>
      </c>
      <c r="J290" s="42">
        <f t="shared" si="13"/>
        <v>6722.5</v>
      </c>
      <c r="K290" s="42">
        <f t="shared" si="13"/>
        <v>13367.65</v>
      </c>
      <c r="L290" s="41">
        <f t="shared" si="13"/>
        <v>374718.33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>
        <v>5259.76</v>
      </c>
      <c r="I295" s="18">
        <v>84</v>
      </c>
      <c r="J295" s="18">
        <v>1159.32</v>
      </c>
      <c r="K295" s="18"/>
      <c r="L295" s="19">
        <f>SUM(F295:K295)</f>
        <v>6503.08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>
        <v>5583.1</v>
      </c>
      <c r="J296" s="18"/>
      <c r="K296" s="18"/>
      <c r="L296" s="19">
        <f>SUM(F296:K296)</f>
        <v>5583.1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>
        <v>6768.42</v>
      </c>
      <c r="I301" s="18"/>
      <c r="J301" s="18"/>
      <c r="K301" s="18"/>
      <c r="L301" s="19">
        <f t="shared" si="14"/>
        <v>6768.42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>
        <v>12500</v>
      </c>
      <c r="I303" s="18"/>
      <c r="J303" s="18"/>
      <c r="K303" s="18"/>
      <c r="L303" s="19">
        <f t="shared" si="14"/>
        <v>12500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>
        <v>3826.57</v>
      </c>
      <c r="L307" s="19">
        <f>SUM(F307:K307)</f>
        <v>3826.57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24528.18</v>
      </c>
      <c r="I309" s="42">
        <f t="shared" si="15"/>
        <v>5667.1</v>
      </c>
      <c r="J309" s="42">
        <f t="shared" si="15"/>
        <v>1159.32</v>
      </c>
      <c r="K309" s="42">
        <f t="shared" si="15"/>
        <v>3826.57</v>
      </c>
      <c r="L309" s="41">
        <f t="shared" si="15"/>
        <v>35181.17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>
        <v>31956.080000000002</v>
      </c>
      <c r="G314" s="18">
        <v>6105.17</v>
      </c>
      <c r="H314" s="18">
        <v>7013.02</v>
      </c>
      <c r="I314" s="18">
        <v>112</v>
      </c>
      <c r="J314" s="18">
        <v>1545.76</v>
      </c>
      <c r="K314" s="18"/>
      <c r="L314" s="19">
        <f>SUM(F314:K314)</f>
        <v>46732.030000000006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v>176866.59</v>
      </c>
      <c r="G315" s="18">
        <v>109834.54</v>
      </c>
      <c r="H315" s="18"/>
      <c r="I315" s="18">
        <v>7867.08</v>
      </c>
      <c r="J315" s="18"/>
      <c r="K315" s="18"/>
      <c r="L315" s="19">
        <f>SUM(F315:K315)</f>
        <v>294568.21000000002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>
        <v>99793.91</v>
      </c>
      <c r="G319" s="18">
        <v>21704.22</v>
      </c>
      <c r="H319" s="18"/>
      <c r="I319" s="18"/>
      <c r="J319" s="18"/>
      <c r="K319" s="18"/>
      <c r="L319" s="19">
        <f t="shared" ref="L319:L325" si="16">SUM(F319:K319)</f>
        <v>121498.13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>
        <v>9443.23</v>
      </c>
      <c r="I320" s="18"/>
      <c r="J320" s="18"/>
      <c r="K320" s="18"/>
      <c r="L320" s="19">
        <f t="shared" si="16"/>
        <v>9443.23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>
        <v>9500</v>
      </c>
      <c r="G322" s="18">
        <v>2432.04</v>
      </c>
      <c r="H322" s="18"/>
      <c r="I322" s="18"/>
      <c r="J322" s="18"/>
      <c r="K322" s="18"/>
      <c r="L322" s="19">
        <f t="shared" si="16"/>
        <v>11932.04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>
        <v>6422.39</v>
      </c>
      <c r="L326" s="19">
        <f>SUM(F326:K326)</f>
        <v>6422.39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318116.57999999996</v>
      </c>
      <c r="G328" s="42">
        <f t="shared" si="17"/>
        <v>140075.97</v>
      </c>
      <c r="H328" s="42">
        <f t="shared" si="17"/>
        <v>16456.25</v>
      </c>
      <c r="I328" s="42">
        <f t="shared" si="17"/>
        <v>7979.08</v>
      </c>
      <c r="J328" s="42">
        <f t="shared" si="17"/>
        <v>1545.76</v>
      </c>
      <c r="K328" s="42">
        <f t="shared" si="17"/>
        <v>6422.39</v>
      </c>
      <c r="L328" s="41">
        <f t="shared" si="17"/>
        <v>490596.03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502148.44999999995</v>
      </c>
      <c r="G338" s="41">
        <f t="shared" si="20"/>
        <v>193784.09</v>
      </c>
      <c r="H338" s="41">
        <f t="shared" si="20"/>
        <v>92303.6</v>
      </c>
      <c r="I338" s="41">
        <f t="shared" si="20"/>
        <v>79215.200000000012</v>
      </c>
      <c r="J338" s="41">
        <f t="shared" si="20"/>
        <v>9427.58</v>
      </c>
      <c r="K338" s="41">
        <f t="shared" si="20"/>
        <v>23616.61</v>
      </c>
      <c r="L338" s="41">
        <f t="shared" si="20"/>
        <v>900495.53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502148.44999999995</v>
      </c>
      <c r="G352" s="41">
        <f>G338</f>
        <v>193784.09</v>
      </c>
      <c r="H352" s="41">
        <f>H338</f>
        <v>92303.6</v>
      </c>
      <c r="I352" s="41">
        <f>I338</f>
        <v>79215.200000000012</v>
      </c>
      <c r="J352" s="41">
        <f>J338</f>
        <v>9427.58</v>
      </c>
      <c r="K352" s="47">
        <f>K338+K351</f>
        <v>23616.61</v>
      </c>
      <c r="L352" s="41">
        <f>L338+L351</f>
        <v>900495.53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>
        <v>255055.77</v>
      </c>
      <c r="I358" s="18">
        <v>14529.73</v>
      </c>
      <c r="J358" s="18">
        <v>245</v>
      </c>
      <c r="K358" s="18">
        <v>149.94999999999999</v>
      </c>
      <c r="L358" s="13">
        <f>SUM(F358:K358)</f>
        <v>269980.45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>
        <v>139028.69</v>
      </c>
      <c r="I359" s="18">
        <v>7925.3</v>
      </c>
      <c r="J359" s="18"/>
      <c r="K359" s="18"/>
      <c r="L359" s="19">
        <f>SUM(F359:K359)</f>
        <v>146953.99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>
        <v>185214.11</v>
      </c>
      <c r="I360" s="18">
        <v>10567.08</v>
      </c>
      <c r="J360" s="18">
        <v>2926.46</v>
      </c>
      <c r="K360" s="18">
        <v>88.21</v>
      </c>
      <c r="L360" s="19">
        <f>SUM(F360:K360)</f>
        <v>198795.85999999996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579298.56999999995</v>
      </c>
      <c r="I362" s="47">
        <f t="shared" si="22"/>
        <v>33022.11</v>
      </c>
      <c r="J362" s="47">
        <f t="shared" si="22"/>
        <v>3171.46</v>
      </c>
      <c r="K362" s="47">
        <f t="shared" si="22"/>
        <v>238.15999999999997</v>
      </c>
      <c r="L362" s="47">
        <f t="shared" si="22"/>
        <v>615730.29999999993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14529.73</v>
      </c>
      <c r="G367" s="18">
        <v>7925.3</v>
      </c>
      <c r="H367" s="18">
        <v>10567.08</v>
      </c>
      <c r="I367" s="56">
        <f>SUM(F367:H367)</f>
        <v>33022.11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14529.73</v>
      </c>
      <c r="G369" s="47">
        <f>SUM(G367:G368)</f>
        <v>7925.3</v>
      </c>
      <c r="H369" s="47">
        <f>SUM(H367:H368)</f>
        <v>10567.08</v>
      </c>
      <c r="I369" s="47">
        <f>SUM(I367:I368)</f>
        <v>33022.11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50000</v>
      </c>
      <c r="H396" s="18">
        <f>4171.28+7184.32+1954.19</f>
        <v>13309.789999999999</v>
      </c>
      <c r="I396" s="18"/>
      <c r="J396" s="24" t="s">
        <v>286</v>
      </c>
      <c r="K396" s="24" t="s">
        <v>286</v>
      </c>
      <c r="L396" s="56">
        <f t="shared" si="26"/>
        <v>63309.79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>
        <v>25000</v>
      </c>
      <c r="H397" s="18">
        <f>1286.37+2455.51</f>
        <v>3741.88</v>
      </c>
      <c r="I397" s="18"/>
      <c r="J397" s="24" t="s">
        <v>286</v>
      </c>
      <c r="K397" s="24" t="s">
        <v>286</v>
      </c>
      <c r="L397" s="56">
        <f t="shared" si="26"/>
        <v>28741.88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>
        <v>35322.129999999997</v>
      </c>
      <c r="J400" s="24" t="s">
        <v>286</v>
      </c>
      <c r="K400" s="24" t="s">
        <v>286</v>
      </c>
      <c r="L400" s="56">
        <f t="shared" si="26"/>
        <v>35322.129999999997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75000</v>
      </c>
      <c r="H401" s="47">
        <f>SUM(H395:H400)</f>
        <v>17051.669999999998</v>
      </c>
      <c r="I401" s="47">
        <f>SUM(I395:I400)</f>
        <v>35322.129999999997</v>
      </c>
      <c r="J401" s="45" t="s">
        <v>286</v>
      </c>
      <c r="K401" s="45" t="s">
        <v>286</v>
      </c>
      <c r="L401" s="47">
        <f>SUM(L395:L400)</f>
        <v>127373.79999999999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75000</v>
      </c>
      <c r="H408" s="47">
        <f>H393+H401+H407</f>
        <v>17051.669999999998</v>
      </c>
      <c r="I408" s="47">
        <f>I393+I401+I407</f>
        <v>35322.129999999997</v>
      </c>
      <c r="J408" s="24" t="s">
        <v>286</v>
      </c>
      <c r="K408" s="24" t="s">
        <v>286</v>
      </c>
      <c r="L408" s="47">
        <f>L393+L401+L407</f>
        <v>127373.79999999999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>
        <v>45154.52</v>
      </c>
      <c r="L426" s="56">
        <f t="shared" si="29"/>
        <v>45154.52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45154.52</v>
      </c>
      <c r="L427" s="47">
        <f t="shared" si="30"/>
        <v>45154.52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45154.52</v>
      </c>
      <c r="L434" s="47">
        <f t="shared" si="32"/>
        <v>45154.52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>
        <f>2079046.35-10500</f>
        <v>2068546.35</v>
      </c>
      <c r="G440" s="18"/>
      <c r="H440" s="18"/>
      <c r="I440" s="56">
        <f t="shared" si="33"/>
        <v>2068546.35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>
        <f>2+41246.04</f>
        <v>41248.04</v>
      </c>
      <c r="G441" s="18"/>
      <c r="H441" s="18"/>
      <c r="I441" s="56">
        <f t="shared" si="33"/>
        <v>41248.04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>
        <v>10500</v>
      </c>
      <c r="G442" s="18"/>
      <c r="H442" s="18"/>
      <c r="I442" s="56">
        <f t="shared" si="33"/>
        <v>10500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2120294.39</v>
      </c>
      <c r="G446" s="13">
        <f>SUM(G439:G445)</f>
        <v>0</v>
      </c>
      <c r="H446" s="13">
        <f>SUM(H439:H445)</f>
        <v>0</v>
      </c>
      <c r="I446" s="13">
        <f>SUM(I439:I445)</f>
        <v>2120294.39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>
        <v>51746.04</v>
      </c>
      <c r="G450" s="18"/>
      <c r="H450" s="18"/>
      <c r="I450" s="56">
        <f>SUM(F450:H450)</f>
        <v>51746.04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51746.04</v>
      </c>
      <c r="G452" s="72">
        <f>SUM(G448:G451)</f>
        <v>0</v>
      </c>
      <c r="H452" s="72">
        <f>SUM(H448:H451)</f>
        <v>0</v>
      </c>
      <c r="I452" s="72">
        <f>SUM(I448:I451)</f>
        <v>51746.04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f>1986329.07+82219.28</f>
        <v>2068548.35</v>
      </c>
      <c r="G459" s="18"/>
      <c r="H459" s="18"/>
      <c r="I459" s="56">
        <f t="shared" si="34"/>
        <v>2068548.35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2068548.35</v>
      </c>
      <c r="G460" s="83">
        <f>SUM(G454:G459)</f>
        <v>0</v>
      </c>
      <c r="H460" s="83">
        <f>SUM(H454:H459)</f>
        <v>0</v>
      </c>
      <c r="I460" s="83">
        <f>SUM(I454:I459)</f>
        <v>2068548.35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2120294.39</v>
      </c>
      <c r="G461" s="42">
        <f>G452+G460</f>
        <v>0</v>
      </c>
      <c r="H461" s="42">
        <f>H452+H460</f>
        <v>0</v>
      </c>
      <c r="I461" s="42">
        <f>I452+I460</f>
        <v>2120294.39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f>F51-F468+F472</f>
        <v>4169678.0200000033</v>
      </c>
      <c r="G465" s="18">
        <f t="shared" ref="G465:J465" si="35">G51-G468+G472</f>
        <v>17758.510000000009</v>
      </c>
      <c r="H465" s="18">
        <f t="shared" si="35"/>
        <v>94084.320000000065</v>
      </c>
      <c r="I465" s="18">
        <f t="shared" si="35"/>
        <v>106451.5</v>
      </c>
      <c r="J465" s="18">
        <f t="shared" si="35"/>
        <v>1986329.07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f>F193</f>
        <v>38606807.780000001</v>
      </c>
      <c r="G468" s="18">
        <f t="shared" ref="G468:J468" si="36">G193</f>
        <v>615730.29999999993</v>
      </c>
      <c r="H468" s="18">
        <f t="shared" si="36"/>
        <v>900495.53</v>
      </c>
      <c r="I468" s="18">
        <f t="shared" si="36"/>
        <v>2008.96</v>
      </c>
      <c r="J468" s="18">
        <f t="shared" si="36"/>
        <v>127373.79999999999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38606807.780000001</v>
      </c>
      <c r="G470" s="53">
        <f>SUM(G468:G469)</f>
        <v>615730.29999999993</v>
      </c>
      <c r="H470" s="53">
        <f>SUM(H468:H469)</f>
        <v>900495.53</v>
      </c>
      <c r="I470" s="53">
        <f>SUM(I468:I469)</f>
        <v>2008.96</v>
      </c>
      <c r="J470" s="53">
        <f>SUM(J468:J469)</f>
        <v>127373.79999999999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f>L271</f>
        <v>38580308.810000002</v>
      </c>
      <c r="G472" s="18">
        <f>L362</f>
        <v>615730.29999999993</v>
      </c>
      <c r="H472" s="18">
        <f>L352</f>
        <v>900495.53</v>
      </c>
      <c r="I472" s="18">
        <f>L382</f>
        <v>0</v>
      </c>
      <c r="J472" s="18">
        <f>L434</f>
        <v>45154.52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38580308.810000002</v>
      </c>
      <c r="G474" s="53">
        <f>SUM(G472:G473)</f>
        <v>615730.29999999993</v>
      </c>
      <c r="H474" s="53">
        <f>SUM(H472:H473)</f>
        <v>900495.53</v>
      </c>
      <c r="I474" s="53">
        <f>SUM(I472:I473)</f>
        <v>0</v>
      </c>
      <c r="J474" s="53">
        <f>SUM(J472:J473)</f>
        <v>45154.52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4196176.9900000021</v>
      </c>
      <c r="G476" s="53">
        <f>(G465+G470)- G474</f>
        <v>17758.510000000009</v>
      </c>
      <c r="H476" s="53">
        <f>(H465+H470)- H474</f>
        <v>94084.320000000065</v>
      </c>
      <c r="I476" s="53">
        <f>(I465+I470)- I474</f>
        <v>108460.46</v>
      </c>
      <c r="J476" s="53">
        <f>(J465+J470)- J474</f>
        <v>2068548.35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20</v>
      </c>
      <c r="G490" s="154">
        <v>15</v>
      </c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912</v>
      </c>
      <c r="G491" s="275" t="s">
        <v>913</v>
      </c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914</v>
      </c>
      <c r="G492" s="276" t="s">
        <v>915</v>
      </c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24450150</v>
      </c>
      <c r="G493" s="18">
        <v>2231283</v>
      </c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4.6100000000000003</v>
      </c>
      <c r="G494" s="18">
        <v>4.375</v>
      </c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9183609.4199999999</v>
      </c>
      <c r="G495" s="18">
        <v>1338769.8</v>
      </c>
      <c r="H495" s="18"/>
      <c r="I495" s="18"/>
      <c r="J495" s="18"/>
      <c r="K495" s="53">
        <f>SUM(F495:J495)</f>
        <v>10522379.220000001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7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f>931864.94+188976.42</f>
        <v>1120841.3599999999</v>
      </c>
      <c r="G497" s="18">
        <v>148752.20000000001</v>
      </c>
      <c r="H497" s="18"/>
      <c r="I497" s="18"/>
      <c r="J497" s="18"/>
      <c r="K497" s="53">
        <f t="shared" si="37"/>
        <v>1269593.5599999998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f>F495-F497</f>
        <v>8062768.0600000005</v>
      </c>
      <c r="G498" s="204">
        <f>G495-G497</f>
        <v>1190017.6000000001</v>
      </c>
      <c r="H498" s="204"/>
      <c r="I498" s="204"/>
      <c r="J498" s="204"/>
      <c r="K498" s="205">
        <f t="shared" si="37"/>
        <v>9252785.6600000001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8100584.7699999996</v>
      </c>
      <c r="G499" s="18">
        <v>159399.22</v>
      </c>
      <c r="H499" s="18"/>
      <c r="I499" s="18"/>
      <c r="J499" s="18"/>
      <c r="K499" s="53">
        <f t="shared" si="37"/>
        <v>8259983.9899999993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16163352.83</v>
      </c>
      <c r="G500" s="42">
        <f>SUM(G498:G499)</f>
        <v>1349416.82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7"/>
        <v>17512769.649999999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f>906115.18+164471.6</f>
        <v>1070586.78</v>
      </c>
      <c r="G501" s="204">
        <v>148752.20000000001</v>
      </c>
      <c r="H501" s="204"/>
      <c r="I501" s="204"/>
      <c r="J501" s="204"/>
      <c r="K501" s="205">
        <f t="shared" si="37"/>
        <v>1219338.98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f>666821.07+131889.65</f>
        <v>798710.72</v>
      </c>
      <c r="G502" s="18">
        <f>25817.68+22964.89</f>
        <v>48782.57</v>
      </c>
      <c r="H502" s="18"/>
      <c r="I502" s="18"/>
      <c r="J502" s="18"/>
      <c r="K502" s="53">
        <f t="shared" si="37"/>
        <v>847493.28999999992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1869297.5</v>
      </c>
      <c r="G503" s="42">
        <f>SUM(G501:G502)</f>
        <v>197534.77000000002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7"/>
        <v>2066832.27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f>F198-F567</f>
        <v>1863387.5759999999</v>
      </c>
      <c r="G521" s="18">
        <f t="shared" ref="G521:K521" si="38">G198-G567</f>
        <v>783544.58400000003</v>
      </c>
      <c r="H521" s="18">
        <f t="shared" si="38"/>
        <v>68008.340000000011</v>
      </c>
      <c r="I521" s="18">
        <f t="shared" si="38"/>
        <v>26879.175999999999</v>
      </c>
      <c r="J521" s="18">
        <f>J198-J567+4119.08</f>
        <v>4119.08</v>
      </c>
      <c r="K521" s="18">
        <f t="shared" si="38"/>
        <v>0</v>
      </c>
      <c r="L521" s="88">
        <f>SUM(F521:K521)</f>
        <v>2745938.7560000001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f>F216-F568</f>
        <v>901931.04400000011</v>
      </c>
      <c r="G522" s="18">
        <f t="shared" ref="G522:K522" si="39">G216-G568</f>
        <v>343283.446</v>
      </c>
      <c r="H522" s="18">
        <f t="shared" si="39"/>
        <v>144553.88</v>
      </c>
      <c r="I522" s="18">
        <f t="shared" si="39"/>
        <v>7197.2540000000008</v>
      </c>
      <c r="J522" s="18">
        <f>J216-J568</f>
        <v>0</v>
      </c>
      <c r="K522" s="18">
        <f t="shared" si="39"/>
        <v>3837.72</v>
      </c>
      <c r="L522" s="88">
        <f>SUM(F522:K522)</f>
        <v>1400803.344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f>F234+176866.59</f>
        <v>994287.1</v>
      </c>
      <c r="G523" s="18">
        <f>G234+109834.54</f>
        <v>424169.82999999996</v>
      </c>
      <c r="H523" s="18">
        <f>H234+0</f>
        <v>1385832.47</v>
      </c>
      <c r="I523" s="18">
        <f>I234+40132.15</f>
        <v>49120.07</v>
      </c>
      <c r="J523" s="18">
        <f>J234+478</f>
        <v>478</v>
      </c>
      <c r="K523" s="18">
        <f t="shared" ref="K523" si="40">K234</f>
        <v>0</v>
      </c>
      <c r="L523" s="88">
        <f>SUM(F523:K523)</f>
        <v>2853887.4699999997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3759605.72</v>
      </c>
      <c r="G524" s="108">
        <f t="shared" ref="G524:L524" si="41">SUM(G521:G523)</f>
        <v>1550997.8599999999</v>
      </c>
      <c r="H524" s="108">
        <f t="shared" si="41"/>
        <v>1598394.69</v>
      </c>
      <c r="I524" s="108">
        <f t="shared" si="41"/>
        <v>83196.5</v>
      </c>
      <c r="J524" s="108">
        <f t="shared" si="41"/>
        <v>4597.08</v>
      </c>
      <c r="K524" s="108">
        <f t="shared" si="41"/>
        <v>3837.72</v>
      </c>
      <c r="L524" s="89">
        <f t="shared" si="41"/>
        <v>7000629.5700000003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>
        <v>6125.03</v>
      </c>
      <c r="I526" s="18"/>
      <c r="J526" s="18"/>
      <c r="K526" s="18">
        <v>230.58</v>
      </c>
      <c r="L526" s="88">
        <f>SUM(F526:K526)</f>
        <v>6355.61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v>96393.909999999989</v>
      </c>
      <c r="G528" s="18">
        <v>21424.06</v>
      </c>
      <c r="H528" s="18">
        <f>1984.78+25120.1</f>
        <v>27104.879999999997</v>
      </c>
      <c r="I528" s="18"/>
      <c r="J528" s="18"/>
      <c r="K528" s="18">
        <v>13694.78</v>
      </c>
      <c r="L528" s="88">
        <f>SUM(F528:K528)</f>
        <v>158617.62999999998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96393.909999999989</v>
      </c>
      <c r="G529" s="89">
        <f t="shared" ref="G529:L529" si="42">SUM(G526:G528)</f>
        <v>21424.06</v>
      </c>
      <c r="H529" s="89">
        <f t="shared" si="42"/>
        <v>33229.909999999996</v>
      </c>
      <c r="I529" s="89">
        <f t="shared" si="42"/>
        <v>0</v>
      </c>
      <c r="J529" s="89">
        <f t="shared" si="42"/>
        <v>0</v>
      </c>
      <c r="K529" s="89">
        <f t="shared" si="42"/>
        <v>13925.36</v>
      </c>
      <c r="L529" s="89">
        <f t="shared" si="42"/>
        <v>164973.23999999996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216023.09000000003</v>
      </c>
      <c r="G531" s="18">
        <v>107430.53999999986</v>
      </c>
      <c r="H531" s="18"/>
      <c r="I531" s="18"/>
      <c r="J531" s="18"/>
      <c r="K531" s="18"/>
      <c r="L531" s="88">
        <f>SUM(F531:K531)</f>
        <v>323453.62999999989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v>117825.14</v>
      </c>
      <c r="G532" s="18">
        <v>56592.239999999867</v>
      </c>
      <c r="H532" s="18"/>
      <c r="I532" s="18"/>
      <c r="J532" s="18"/>
      <c r="K532" s="18"/>
      <c r="L532" s="88">
        <f>SUM(F532:K532)</f>
        <v>174417.37999999986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125654.51999999999</v>
      </c>
      <c r="G533" s="18">
        <v>61494.85000000002</v>
      </c>
      <c r="H533" s="18"/>
      <c r="I533" s="18"/>
      <c r="J533" s="18"/>
      <c r="K533" s="18"/>
      <c r="L533" s="88">
        <f>SUM(F533:K533)</f>
        <v>187149.37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459502.75</v>
      </c>
      <c r="G534" s="89">
        <f t="shared" ref="G534:L534" si="43">SUM(G531:G533)</f>
        <v>225517.62999999977</v>
      </c>
      <c r="H534" s="89">
        <f t="shared" si="43"/>
        <v>0</v>
      </c>
      <c r="I534" s="89">
        <f t="shared" si="43"/>
        <v>0</v>
      </c>
      <c r="J534" s="89">
        <f t="shared" si="43"/>
        <v>0</v>
      </c>
      <c r="K534" s="89">
        <f t="shared" si="43"/>
        <v>0</v>
      </c>
      <c r="L534" s="89">
        <f t="shared" si="43"/>
        <v>685020.37999999977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4971.58</v>
      </c>
      <c r="I536" s="18"/>
      <c r="J536" s="18"/>
      <c r="K536" s="18"/>
      <c r="L536" s="88">
        <f>SUM(F536:K536)</f>
        <v>4971.58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>
        <v>2327.12</v>
      </c>
      <c r="I537" s="18"/>
      <c r="J537" s="18"/>
      <c r="K537" s="18"/>
      <c r="L537" s="88">
        <f>SUM(F537:K537)</f>
        <v>2327.12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>
        <v>3279.13</v>
      </c>
      <c r="I538" s="18"/>
      <c r="J538" s="18"/>
      <c r="K538" s="18"/>
      <c r="L538" s="88">
        <f>SUM(F538:K538)</f>
        <v>3279.13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44">SUM(G536:G538)</f>
        <v>0</v>
      </c>
      <c r="H539" s="89">
        <f t="shared" si="44"/>
        <v>10577.83</v>
      </c>
      <c r="I539" s="89">
        <f t="shared" si="44"/>
        <v>0</v>
      </c>
      <c r="J539" s="89">
        <f t="shared" si="44"/>
        <v>0</v>
      </c>
      <c r="K539" s="89">
        <f t="shared" si="44"/>
        <v>0</v>
      </c>
      <c r="L539" s="89">
        <f t="shared" si="44"/>
        <v>10577.83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f>H592</f>
        <v>64282.49</v>
      </c>
      <c r="I541" s="18"/>
      <c r="J541" s="18"/>
      <c r="K541" s="18"/>
      <c r="L541" s="88">
        <f>SUM(F541:K541)</f>
        <v>64282.49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>
        <f>I592</f>
        <v>35063.17</v>
      </c>
      <c r="I542" s="18"/>
      <c r="J542" s="18"/>
      <c r="K542" s="18"/>
      <c r="L542" s="88">
        <f>SUM(F542:K542)</f>
        <v>35063.17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f>J592</f>
        <v>46750.9</v>
      </c>
      <c r="I543" s="18"/>
      <c r="J543" s="18"/>
      <c r="K543" s="18"/>
      <c r="L543" s="88">
        <f>SUM(F543:K543)</f>
        <v>46750.9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5">SUM(G541:G543)</f>
        <v>0</v>
      </c>
      <c r="H544" s="193">
        <f t="shared" si="45"/>
        <v>146096.56</v>
      </c>
      <c r="I544" s="193">
        <f t="shared" si="45"/>
        <v>0</v>
      </c>
      <c r="J544" s="193">
        <f t="shared" si="45"/>
        <v>0</v>
      </c>
      <c r="K544" s="193">
        <f t="shared" si="45"/>
        <v>0</v>
      </c>
      <c r="L544" s="193">
        <f t="shared" si="45"/>
        <v>146096.56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4315502.3800000008</v>
      </c>
      <c r="G545" s="89">
        <f t="shared" ref="G545:L545" si="46">G524+G529+G534+G539+G544</f>
        <v>1797939.5499999998</v>
      </c>
      <c r="H545" s="89">
        <f t="shared" si="46"/>
        <v>1788298.99</v>
      </c>
      <c r="I545" s="89">
        <f t="shared" si="46"/>
        <v>83196.5</v>
      </c>
      <c r="J545" s="89">
        <f t="shared" si="46"/>
        <v>4597.08</v>
      </c>
      <c r="K545" s="89">
        <f t="shared" si="46"/>
        <v>17763.080000000002</v>
      </c>
      <c r="L545" s="89">
        <f t="shared" si="46"/>
        <v>8007297.5800000001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2745938.7560000001</v>
      </c>
      <c r="G549" s="87">
        <f>L526</f>
        <v>6355.61</v>
      </c>
      <c r="H549" s="87">
        <f>L531</f>
        <v>323453.62999999989</v>
      </c>
      <c r="I549" s="87">
        <f>L536</f>
        <v>4971.58</v>
      </c>
      <c r="J549" s="87">
        <f>L541</f>
        <v>64282.49</v>
      </c>
      <c r="K549" s="87">
        <f>SUM(F549:J549)</f>
        <v>3145002.0660000001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1400803.344</v>
      </c>
      <c r="G550" s="87">
        <f>L527</f>
        <v>0</v>
      </c>
      <c r="H550" s="87">
        <f>L532</f>
        <v>174417.37999999986</v>
      </c>
      <c r="I550" s="87">
        <f>L537</f>
        <v>2327.12</v>
      </c>
      <c r="J550" s="87">
        <f>L542</f>
        <v>35063.17</v>
      </c>
      <c r="K550" s="87">
        <f>SUM(F550:J550)</f>
        <v>1612611.014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2853887.4699999997</v>
      </c>
      <c r="G551" s="87">
        <f>L528</f>
        <v>158617.62999999998</v>
      </c>
      <c r="H551" s="87">
        <f>L533</f>
        <v>187149.37</v>
      </c>
      <c r="I551" s="87">
        <f>L538</f>
        <v>3279.13</v>
      </c>
      <c r="J551" s="87">
        <f>L543</f>
        <v>46750.9</v>
      </c>
      <c r="K551" s="87">
        <f>SUM(F551:J551)</f>
        <v>3249684.4999999995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7">SUM(F549:F551)</f>
        <v>7000629.5700000003</v>
      </c>
      <c r="G552" s="89">
        <f t="shared" si="47"/>
        <v>164973.23999999996</v>
      </c>
      <c r="H552" s="89">
        <f t="shared" si="47"/>
        <v>685020.37999999977</v>
      </c>
      <c r="I552" s="89">
        <f t="shared" si="47"/>
        <v>10577.83</v>
      </c>
      <c r="J552" s="89">
        <f t="shared" si="47"/>
        <v>146096.56</v>
      </c>
      <c r="K552" s="89">
        <f t="shared" si="47"/>
        <v>8007297.5800000001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8">SUM(F557:F559)</f>
        <v>0</v>
      </c>
      <c r="G560" s="108">
        <f t="shared" si="48"/>
        <v>0</v>
      </c>
      <c r="H560" s="108">
        <f t="shared" si="48"/>
        <v>0</v>
      </c>
      <c r="I560" s="108">
        <f t="shared" si="48"/>
        <v>0</v>
      </c>
      <c r="J560" s="108">
        <f t="shared" si="48"/>
        <v>0</v>
      </c>
      <c r="K560" s="108">
        <f t="shared" si="48"/>
        <v>0</v>
      </c>
      <c r="L560" s="89">
        <f t="shared" si="48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9">SUM(F562:F564)</f>
        <v>0</v>
      </c>
      <c r="G565" s="89">
        <f t="shared" si="49"/>
        <v>0</v>
      </c>
      <c r="H565" s="89">
        <f t="shared" si="49"/>
        <v>0</v>
      </c>
      <c r="I565" s="89">
        <f t="shared" si="49"/>
        <v>0</v>
      </c>
      <c r="J565" s="89">
        <f t="shared" si="49"/>
        <v>0</v>
      </c>
      <c r="K565" s="89">
        <f t="shared" si="49"/>
        <v>0</v>
      </c>
      <c r="L565" s="89">
        <f t="shared" si="49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>
        <v>49028.064000000006</v>
      </c>
      <c r="G567" s="18">
        <v>15269.326000000001</v>
      </c>
      <c r="H567" s="18">
        <v>3971.12</v>
      </c>
      <c r="I567" s="18">
        <v>5614.7040000000006</v>
      </c>
      <c r="J567" s="18"/>
      <c r="K567" s="18"/>
      <c r="L567" s="88">
        <f>SUM(F567:K567)</f>
        <v>73883.214000000007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>
        <v>12257.015999999996</v>
      </c>
      <c r="G568" s="18">
        <v>3819.424</v>
      </c>
      <c r="H568" s="18">
        <v>992.77999999999986</v>
      </c>
      <c r="I568" s="18">
        <v>1403.6759999999997</v>
      </c>
      <c r="J568" s="18"/>
      <c r="K568" s="18"/>
      <c r="L568" s="88">
        <f>SUM(F568:K568)</f>
        <v>18472.895999999993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61285.08</v>
      </c>
      <c r="G570" s="193">
        <f t="shared" ref="G570:L570" si="50">SUM(G567:G569)</f>
        <v>19088.75</v>
      </c>
      <c r="H570" s="193">
        <f t="shared" si="50"/>
        <v>4963.8999999999996</v>
      </c>
      <c r="I570" s="193">
        <f t="shared" si="50"/>
        <v>7018.38</v>
      </c>
      <c r="J570" s="193">
        <f t="shared" si="50"/>
        <v>0</v>
      </c>
      <c r="K570" s="193">
        <f t="shared" si="50"/>
        <v>0</v>
      </c>
      <c r="L570" s="193">
        <f t="shared" si="50"/>
        <v>92356.11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61285.08</v>
      </c>
      <c r="G571" s="89">
        <f t="shared" ref="G571:L571" si="51">G560+G565+G570</f>
        <v>19088.75</v>
      </c>
      <c r="H571" s="89">
        <f t="shared" si="51"/>
        <v>4963.8999999999996</v>
      </c>
      <c r="I571" s="89">
        <f t="shared" si="51"/>
        <v>7018.38</v>
      </c>
      <c r="J571" s="89">
        <f t="shared" si="51"/>
        <v>0</v>
      </c>
      <c r="K571" s="89">
        <f t="shared" si="51"/>
        <v>0</v>
      </c>
      <c r="L571" s="89">
        <f t="shared" si="51"/>
        <v>92356.11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52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52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52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52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52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52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>
        <v>108021.8</v>
      </c>
      <c r="H582" s="18">
        <v>1334660.42</v>
      </c>
      <c r="I582" s="87">
        <f t="shared" si="52"/>
        <v>1442682.22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52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>
        <v>104884.89</v>
      </c>
      <c r="I584" s="87">
        <f t="shared" si="52"/>
        <v>104884.89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52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52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52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925616.82</v>
      </c>
      <c r="I591" s="18">
        <v>461765.52999999997</v>
      </c>
      <c r="J591" s="18">
        <v>652278.34000000008</v>
      </c>
      <c r="K591" s="104">
        <f t="shared" ref="K591:K597" si="53">SUM(H591:J591)</f>
        <v>2039660.69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64282.49</v>
      </c>
      <c r="I592" s="18">
        <v>35063.17</v>
      </c>
      <c r="J592" s="18">
        <v>46750.9</v>
      </c>
      <c r="K592" s="104">
        <f t="shared" si="53"/>
        <v>146096.56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>
        <v>17944.5</v>
      </c>
      <c r="K593" s="104">
        <f t="shared" si="53"/>
        <v>17944.5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>
        <v>9260.3700000000008</v>
      </c>
      <c r="J594" s="18">
        <v>52524.6</v>
      </c>
      <c r="K594" s="104">
        <f t="shared" si="53"/>
        <v>61784.97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32002.37</v>
      </c>
      <c r="I595" s="18">
        <v>18077.48</v>
      </c>
      <c r="J595" s="18">
        <v>24001.05</v>
      </c>
      <c r="K595" s="104">
        <f t="shared" si="53"/>
        <v>74080.899999999994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53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53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1021901.6799999999</v>
      </c>
      <c r="I598" s="108">
        <f>SUM(I591:I597)</f>
        <v>524166.54999999993</v>
      </c>
      <c r="J598" s="108">
        <f>SUM(J591:J597)</f>
        <v>793499.39000000013</v>
      </c>
      <c r="K598" s="108">
        <f>SUM(K591:K597)</f>
        <v>2339567.62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J211+J290</f>
        <v>163114.31</v>
      </c>
      <c r="I604" s="18">
        <f>J229+J309</f>
        <v>83053.73000000001</v>
      </c>
      <c r="J604" s="18">
        <f>J247+J328</f>
        <v>225324.43</v>
      </c>
      <c r="K604" s="104">
        <f>SUM(H604:J604)</f>
        <v>471492.47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163114.31</v>
      </c>
      <c r="I605" s="108">
        <f>SUM(I602:I604)</f>
        <v>83053.73000000001</v>
      </c>
      <c r="J605" s="108">
        <f>SUM(J602:J604)</f>
        <v>225324.43</v>
      </c>
      <c r="K605" s="108">
        <f>SUM(K602:K604)</f>
        <v>471492.47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14285</v>
      </c>
      <c r="G611" s="18">
        <v>2801.7200000000003</v>
      </c>
      <c r="H611" s="18">
        <v>34079.410000000003</v>
      </c>
      <c r="I611" s="18">
        <v>69.900000000000006</v>
      </c>
      <c r="J611" s="18"/>
      <c r="K611" s="18"/>
      <c r="L611" s="88">
        <f>SUM(F611:K611)</f>
        <v>51236.030000000006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>
        <v>32907.839999999997</v>
      </c>
      <c r="G612" s="18">
        <v>5617.57</v>
      </c>
      <c r="H612" s="18">
        <v>18772.650000000001</v>
      </c>
      <c r="I612" s="18">
        <v>0</v>
      </c>
      <c r="J612" s="18"/>
      <c r="K612" s="18"/>
      <c r="L612" s="88">
        <f>SUM(F612:K612)</f>
        <v>57298.06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>
        <v>45444.15</v>
      </c>
      <c r="G613" s="18">
        <v>7760.43</v>
      </c>
      <c r="H613" s="18">
        <v>24785.02</v>
      </c>
      <c r="I613" s="18">
        <v>0</v>
      </c>
      <c r="J613" s="18"/>
      <c r="K613" s="18"/>
      <c r="L613" s="88">
        <f>SUM(F613:K613)</f>
        <v>77989.600000000006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54">SUM(F611:F613)</f>
        <v>92636.989999999991</v>
      </c>
      <c r="G614" s="108">
        <f t="shared" si="54"/>
        <v>16179.720000000001</v>
      </c>
      <c r="H614" s="108">
        <f t="shared" si="54"/>
        <v>77637.08</v>
      </c>
      <c r="I614" s="108">
        <f t="shared" si="54"/>
        <v>69.900000000000006</v>
      </c>
      <c r="J614" s="108">
        <f t="shared" si="54"/>
        <v>0</v>
      </c>
      <c r="K614" s="108">
        <f t="shared" si="54"/>
        <v>0</v>
      </c>
      <c r="L614" s="89">
        <f t="shared" si="54"/>
        <v>186523.69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6208200.0499999989</v>
      </c>
      <c r="H617" s="109">
        <f>SUM(F52)</f>
        <v>6208200.0499999998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398092.16000000003</v>
      </c>
      <c r="H618" s="109">
        <f>SUM(G52)</f>
        <v>398092.16000000003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689571.37999999989</v>
      </c>
      <c r="H619" s="109">
        <f>SUM(H52)</f>
        <v>689571.38000000012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154192.46</v>
      </c>
      <c r="H620" s="109">
        <f>SUM(I52)</f>
        <v>154192.46000000002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2120294.39</v>
      </c>
      <c r="H621" s="109">
        <f>SUM(J52)</f>
        <v>2120294.39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4196176.99</v>
      </c>
      <c r="H622" s="109">
        <f>F476</f>
        <v>4196176.9900000021</v>
      </c>
      <c r="I622" s="121" t="s">
        <v>101</v>
      </c>
      <c r="J622" s="109">
        <f t="shared" ref="J622:J655" si="55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17758.509999999998</v>
      </c>
      <c r="H623" s="109">
        <f>G476</f>
        <v>17758.510000000009</v>
      </c>
      <c r="I623" s="121" t="s">
        <v>102</v>
      </c>
      <c r="J623" s="109">
        <f t="shared" si="55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94084.32</v>
      </c>
      <c r="H624" s="109">
        <f>H476</f>
        <v>94084.320000000065</v>
      </c>
      <c r="I624" s="121" t="s">
        <v>103</v>
      </c>
      <c r="J624" s="109">
        <f t="shared" si="55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108460.46</v>
      </c>
      <c r="H625" s="109">
        <f>I476</f>
        <v>108460.46</v>
      </c>
      <c r="I625" s="121" t="s">
        <v>104</v>
      </c>
      <c r="J625" s="109">
        <f t="shared" si="55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2068548.35</v>
      </c>
      <c r="H626" s="109">
        <f>J476</f>
        <v>2068548.35</v>
      </c>
      <c r="I626" s="140" t="s">
        <v>105</v>
      </c>
      <c r="J626" s="109">
        <f t="shared" si="55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38606807.780000001</v>
      </c>
      <c r="H627" s="104">
        <f>SUM(F468)</f>
        <v>38606807.780000001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615730.29999999993</v>
      </c>
      <c r="H628" s="104">
        <f>SUM(G468)</f>
        <v>615730.29999999993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900495.53</v>
      </c>
      <c r="H629" s="104">
        <f>SUM(H468)</f>
        <v>900495.53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2008.96</v>
      </c>
      <c r="H630" s="104">
        <f>SUM(I468)</f>
        <v>2008.96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127373.79999999999</v>
      </c>
      <c r="H631" s="104">
        <f>SUM(J468)</f>
        <v>127373.79999999999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38580308.810000002</v>
      </c>
      <c r="H632" s="104">
        <f>SUM(F472)</f>
        <v>38580308.810000002</v>
      </c>
      <c r="I632" s="140" t="s">
        <v>111</v>
      </c>
      <c r="J632" s="109">
        <f t="shared" si="55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900495.53</v>
      </c>
      <c r="H633" s="104">
        <f>SUM(H472)</f>
        <v>900495.53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33022.11</v>
      </c>
      <c r="H634" s="104">
        <f>I369</f>
        <v>33022.11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615730.29999999993</v>
      </c>
      <c r="H635" s="104">
        <f>SUM(G472)</f>
        <v>615730.29999999993</v>
      </c>
      <c r="I635" s="140" t="s">
        <v>114</v>
      </c>
      <c r="J635" s="109">
        <f t="shared" si="55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5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127373.79999999999</v>
      </c>
      <c r="H637" s="164">
        <f>SUM(J468)</f>
        <v>127373.79999999999</v>
      </c>
      <c r="I637" s="165" t="s">
        <v>110</v>
      </c>
      <c r="J637" s="151">
        <f t="shared" si="55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45154.52</v>
      </c>
      <c r="H638" s="164">
        <f>SUM(J472)</f>
        <v>45154.52</v>
      </c>
      <c r="I638" s="165" t="s">
        <v>117</v>
      </c>
      <c r="J638" s="151">
        <f t="shared" si="55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2120294.39</v>
      </c>
      <c r="H639" s="104">
        <f>SUM(F461)</f>
        <v>2120294.39</v>
      </c>
      <c r="I639" s="140" t="s">
        <v>851</v>
      </c>
      <c r="J639" s="109">
        <f t="shared" si="55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852</v>
      </c>
      <c r="J640" s="109">
        <f t="shared" si="55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5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2120294.39</v>
      </c>
      <c r="H642" s="104">
        <f>SUM(I461)</f>
        <v>2120294.39</v>
      </c>
      <c r="I642" s="140" t="s">
        <v>854</v>
      </c>
      <c r="J642" s="109">
        <f t="shared" si="55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5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17051.669999999998</v>
      </c>
      <c r="H644" s="104">
        <f>H408</f>
        <v>17051.669999999998</v>
      </c>
      <c r="I644" s="140" t="s">
        <v>478</v>
      </c>
      <c r="J644" s="109">
        <f t="shared" si="55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75000</v>
      </c>
      <c r="H645" s="104">
        <f>G408</f>
        <v>75000</v>
      </c>
      <c r="I645" s="140" t="s">
        <v>479</v>
      </c>
      <c r="J645" s="109">
        <f t="shared" si="55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127373.79999999999</v>
      </c>
      <c r="H646" s="104">
        <f>L408</f>
        <v>127373.79999999999</v>
      </c>
      <c r="I646" s="140" t="s">
        <v>475</v>
      </c>
      <c r="J646" s="109">
        <f t="shared" si="55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2339567.62</v>
      </c>
      <c r="H647" s="104">
        <f>L208+L226+L244</f>
        <v>2339567.62</v>
      </c>
      <c r="I647" s="140" t="s">
        <v>394</v>
      </c>
      <c r="J647" s="109">
        <f t="shared" si="55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471492.47</v>
      </c>
      <c r="H648" s="104">
        <f>(J257+J338)-(J255+J336)</f>
        <v>471492.47000000003</v>
      </c>
      <c r="I648" s="140" t="s">
        <v>697</v>
      </c>
      <c r="J648" s="109">
        <f t="shared" si="55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1021901.6799999999</v>
      </c>
      <c r="H649" s="104">
        <f>H598</f>
        <v>1021901.6799999999</v>
      </c>
      <c r="I649" s="140" t="s">
        <v>386</v>
      </c>
      <c r="J649" s="109">
        <f t="shared" si="55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524166.55</v>
      </c>
      <c r="H650" s="104">
        <f>I598</f>
        <v>524166.54999999993</v>
      </c>
      <c r="I650" s="140" t="s">
        <v>387</v>
      </c>
      <c r="J650" s="109">
        <f t="shared" si="55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793499.3899999999</v>
      </c>
      <c r="H651" s="104">
        <f>J598</f>
        <v>793499.39000000013</v>
      </c>
      <c r="I651" s="140" t="s">
        <v>388</v>
      </c>
      <c r="J651" s="109">
        <f t="shared" si="55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10032.01</v>
      </c>
      <c r="H652" s="104">
        <f>K263+K345</f>
        <v>10032.01</v>
      </c>
      <c r="I652" s="140" t="s">
        <v>395</v>
      </c>
      <c r="J652" s="109">
        <f t="shared" si="55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5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5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75000</v>
      </c>
      <c r="H655" s="104">
        <f>K266+K347</f>
        <v>75000</v>
      </c>
      <c r="I655" s="140" t="s">
        <v>398</v>
      </c>
      <c r="J655" s="109">
        <f t="shared" si="55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14838454.329999998</v>
      </c>
      <c r="G660" s="19">
        <f>(L229+L309+L359)</f>
        <v>9929545.3900000025</v>
      </c>
      <c r="H660" s="19">
        <f>(L247+L328+L360)</f>
        <v>13159111.949999999</v>
      </c>
      <c r="I660" s="19">
        <f>SUM(F660:H660)</f>
        <v>37927111.670000002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172641.98459942202</v>
      </c>
      <c r="G661" s="19">
        <f>(L359/IF(SUM(L358:L360)=0,1,SUM(L358:L360))*(SUM(G97:G110)))</f>
        <v>93971.354142137396</v>
      </c>
      <c r="H661" s="19">
        <f>(L360/IF(SUM(L358:L360)=0,1,SUM(L358:L360))*(SUM(G97:G110)))</f>
        <v>127122.21125844058</v>
      </c>
      <c r="I661" s="19">
        <f>SUM(F661:H661)</f>
        <v>393735.55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1022004.5299999999</v>
      </c>
      <c r="G662" s="19">
        <f>(L226+L306)-(J226+J306)</f>
        <v>524166.55</v>
      </c>
      <c r="H662" s="19">
        <f>(L244+L325)-(J244+J325)</f>
        <v>793499.3899999999</v>
      </c>
      <c r="I662" s="19">
        <f>SUM(F662:H662)</f>
        <v>2339670.4699999997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214350.34</v>
      </c>
      <c r="G663" s="199">
        <f>SUM(G575:G587)+SUM(I602:I604)+L612</f>
        <v>248373.59000000003</v>
      </c>
      <c r="H663" s="199">
        <f>SUM(H575:H587)+SUM(J602:J604)+L613</f>
        <v>1742859.3399999999</v>
      </c>
      <c r="I663" s="19">
        <f>SUM(F663:H663)</f>
        <v>2205583.27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13429457.475400576</v>
      </c>
      <c r="G664" s="19">
        <f>G660-SUM(G661:G663)</f>
        <v>9063033.895857865</v>
      </c>
      <c r="H664" s="19">
        <f>H660-SUM(H661:H663)</f>
        <v>10495631.008741559</v>
      </c>
      <c r="I664" s="19">
        <f>I660-SUM(I661:I663)</f>
        <v>32988122.380000003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797.74</v>
      </c>
      <c r="G665" s="248">
        <v>419.53</v>
      </c>
      <c r="H665" s="248">
        <v>522.13</v>
      </c>
      <c r="I665" s="19">
        <f>SUM(F665:H665)</f>
        <v>1739.4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16834.38</v>
      </c>
      <c r="G667" s="19">
        <f>ROUND(G664/G665,2)</f>
        <v>21602.83</v>
      </c>
      <c r="H667" s="19">
        <f>ROUND(H664/H665,2)</f>
        <v>20101.57</v>
      </c>
      <c r="I667" s="19">
        <f>ROUND(I664/I665,2)</f>
        <v>18965.23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-14.33</v>
      </c>
      <c r="I670" s="19">
        <f>SUM(F670:H670)</f>
        <v>-14.33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16834.38</v>
      </c>
      <c r="G672" s="19">
        <f>ROUND((G664+G669)/(G665+G670),2)</f>
        <v>21602.83</v>
      </c>
      <c r="H672" s="19">
        <f>ROUND((H664+H669)/(H665+H670),2)</f>
        <v>20668.830000000002</v>
      </c>
      <c r="I672" s="19">
        <f>ROUND((I664+I669)/(I665+I670),2)</f>
        <v>19122.77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F24" sqref="F2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Kearsarge Regional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80" t="s">
        <v>778</v>
      </c>
      <c r="B3" s="280"/>
      <c r="C3" s="280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9" t="s">
        <v>777</v>
      </c>
      <c r="C6" s="279"/>
    </row>
    <row r="7" spans="1:3" x14ac:dyDescent="0.2">
      <c r="A7" s="239" t="s">
        <v>780</v>
      </c>
      <c r="B7" s="277" t="s">
        <v>776</v>
      </c>
      <c r="C7" s="278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10355225.279999999</v>
      </c>
      <c r="C9" s="229">
        <f>'DOE25'!G197+'DOE25'!G215+'DOE25'!G233+'DOE25'!G276+'DOE25'!G295+'DOE25'!G314</f>
        <v>5236872.3899999997</v>
      </c>
    </row>
    <row r="10" spans="1:3" x14ac:dyDescent="0.2">
      <c r="A10" t="s">
        <v>773</v>
      </c>
      <c r="B10" s="240">
        <v>9095205.2199999988</v>
      </c>
      <c r="C10" s="240">
        <v>4908609.2100000009</v>
      </c>
    </row>
    <row r="11" spans="1:3" x14ac:dyDescent="0.2">
      <c r="A11" t="s">
        <v>774</v>
      </c>
      <c r="B11" s="240">
        <v>102761.94</v>
      </c>
      <c r="C11" s="240">
        <v>41025.040000000001</v>
      </c>
    </row>
    <row r="12" spans="1:3" x14ac:dyDescent="0.2">
      <c r="A12" t="s">
        <v>775</v>
      </c>
      <c r="B12" s="240">
        <v>1157258.1200000001</v>
      </c>
      <c r="C12" s="240">
        <v>287238.14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10355225.279999997</v>
      </c>
      <c r="C13" s="231">
        <f>SUM(C10:C12)</f>
        <v>5236872.3900000006</v>
      </c>
    </row>
    <row r="14" spans="1:3" x14ac:dyDescent="0.2">
      <c r="B14" s="230"/>
      <c r="C14" s="230"/>
    </row>
    <row r="15" spans="1:3" x14ac:dyDescent="0.2">
      <c r="B15" s="279" t="s">
        <v>777</v>
      </c>
      <c r="C15" s="279"/>
    </row>
    <row r="16" spans="1:3" x14ac:dyDescent="0.2">
      <c r="A16" s="239" t="s">
        <v>781</v>
      </c>
      <c r="B16" s="277" t="s">
        <v>701</v>
      </c>
      <c r="C16" s="278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3820890.8</v>
      </c>
      <c r="C18" s="229">
        <f>'DOE25'!G198+'DOE25'!G216+'DOE25'!G234+'DOE25'!G277+'DOE25'!G296+'DOE25'!G315</f>
        <v>1570086.61</v>
      </c>
    </row>
    <row r="19" spans="1:3" x14ac:dyDescent="0.2">
      <c r="A19" t="s">
        <v>773</v>
      </c>
      <c r="B19" s="240">
        <v>2091949.9600000002</v>
      </c>
      <c r="C19" s="240">
        <v>1145219.1099999996</v>
      </c>
    </row>
    <row r="20" spans="1:3" x14ac:dyDescent="0.2">
      <c r="A20" t="s">
        <v>774</v>
      </c>
      <c r="B20" s="240">
        <v>1588147.23</v>
      </c>
      <c r="C20" s="240">
        <v>411274.37</v>
      </c>
    </row>
    <row r="21" spans="1:3" x14ac:dyDescent="0.2">
      <c r="A21" t="s">
        <v>775</v>
      </c>
      <c r="B21" s="240">
        <v>140793.61000000002</v>
      </c>
      <c r="C21" s="240">
        <v>13593.13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3820890.8000000003</v>
      </c>
      <c r="C22" s="231">
        <f>SUM(C19:C21)</f>
        <v>1570086.6099999994</v>
      </c>
    </row>
    <row r="23" spans="1:3" x14ac:dyDescent="0.2">
      <c r="B23" s="230"/>
      <c r="C23" s="230"/>
    </row>
    <row r="24" spans="1:3" x14ac:dyDescent="0.2">
      <c r="B24" s="279" t="s">
        <v>777</v>
      </c>
      <c r="C24" s="279"/>
    </row>
    <row r="25" spans="1:3" x14ac:dyDescent="0.2">
      <c r="A25" s="239" t="s">
        <v>782</v>
      </c>
      <c r="B25" s="277" t="s">
        <v>702</v>
      </c>
      <c r="C25" s="278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9" t="s">
        <v>777</v>
      </c>
      <c r="C33" s="279"/>
    </row>
    <row r="34" spans="1:3" x14ac:dyDescent="0.2">
      <c r="A34" s="239" t="s">
        <v>783</v>
      </c>
      <c r="B34" s="277" t="s">
        <v>703</v>
      </c>
      <c r="C34" s="278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291927.69</v>
      </c>
      <c r="C36" s="235">
        <f>'DOE25'!G200+'DOE25'!G218+'DOE25'!G236+'DOE25'!G279+'DOE25'!G298+'DOE25'!G317</f>
        <v>51098.3</v>
      </c>
    </row>
    <row r="37" spans="1:3" x14ac:dyDescent="0.2">
      <c r="A37" t="s">
        <v>773</v>
      </c>
      <c r="B37" s="240">
        <v>157807.66</v>
      </c>
      <c r="C37" s="240">
        <v>37454.589999999997</v>
      </c>
    </row>
    <row r="38" spans="1:3" x14ac:dyDescent="0.2">
      <c r="A38" t="s">
        <v>774</v>
      </c>
      <c r="B38" s="240">
        <v>22829.389999999992</v>
      </c>
      <c r="C38" s="240">
        <v>4960.6900000000114</v>
      </c>
    </row>
    <row r="39" spans="1:3" x14ac:dyDescent="0.2">
      <c r="A39" t="s">
        <v>775</v>
      </c>
      <c r="B39" s="240">
        <v>111290.64</v>
      </c>
      <c r="C39" s="240">
        <v>8683.0199999999913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291927.69</v>
      </c>
      <c r="C40" s="231">
        <f>SUM(C37:C39)</f>
        <v>51098.299999999996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24" sqref="F24"/>
      <selection pane="bottomLeft" activeCell="F24" sqref="F24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9" t="s">
        <v>784</v>
      </c>
      <c r="B1" s="284"/>
      <c r="C1" s="284"/>
      <c r="D1" s="284"/>
      <c r="E1" s="284"/>
      <c r="F1" s="284"/>
      <c r="G1" s="284"/>
      <c r="H1" s="284"/>
      <c r="I1" s="181"/>
    </row>
    <row r="2" spans="1:9" x14ac:dyDescent="0.2">
      <c r="A2" s="33" t="s">
        <v>711</v>
      </c>
      <c r="B2" s="265" t="str">
        <f>'DOE25'!A2</f>
        <v>Kearsarge Regional School District</v>
      </c>
      <c r="C2" s="181"/>
      <c r="D2" s="181" t="s">
        <v>786</v>
      </c>
      <c r="E2" s="181" t="s">
        <v>788</v>
      </c>
      <c r="F2" s="281" t="s">
        <v>815</v>
      </c>
      <c r="G2" s="282"/>
      <c r="H2" s="283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24096258.460000001</v>
      </c>
      <c r="D5" s="20">
        <f>SUM('DOE25'!L197:L200)+SUM('DOE25'!L215:L218)+SUM('DOE25'!L233:L236)-F5-G5</f>
        <v>23622703.520000003</v>
      </c>
      <c r="E5" s="243"/>
      <c r="F5" s="255">
        <f>SUM('DOE25'!J197:J200)+SUM('DOE25'!J215:J218)+SUM('DOE25'!J233:J236)</f>
        <v>420087.36</v>
      </c>
      <c r="G5" s="53">
        <f>SUM('DOE25'!K197:K200)+SUM('DOE25'!K215:K218)+SUM('DOE25'!K233:K236)</f>
        <v>53467.58</v>
      </c>
      <c r="H5" s="259"/>
    </row>
    <row r="6" spans="1:9" x14ac:dyDescent="0.2">
      <c r="A6" s="32">
        <v>2100</v>
      </c>
      <c r="B6" t="s">
        <v>795</v>
      </c>
      <c r="C6" s="245">
        <f t="shared" si="0"/>
        <v>1668584.8</v>
      </c>
      <c r="D6" s="20">
        <f>'DOE25'!L202+'DOE25'!L220+'DOE25'!L238-F6-G6</f>
        <v>1668401.8</v>
      </c>
      <c r="E6" s="243"/>
      <c r="F6" s="255">
        <f>'DOE25'!J202+'DOE25'!J220+'DOE25'!J238</f>
        <v>74</v>
      </c>
      <c r="G6" s="53">
        <f>'DOE25'!K202+'DOE25'!K220+'DOE25'!K238</f>
        <v>109</v>
      </c>
      <c r="H6" s="259"/>
    </row>
    <row r="7" spans="1:9" x14ac:dyDescent="0.2">
      <c r="A7" s="32">
        <v>2200</v>
      </c>
      <c r="B7" t="s">
        <v>828</v>
      </c>
      <c r="C7" s="245">
        <f t="shared" si="0"/>
        <v>639976.36</v>
      </c>
      <c r="D7" s="20">
        <f>'DOE25'!L203+'DOE25'!L221+'DOE25'!L239-F7-G7</f>
        <v>628506.35</v>
      </c>
      <c r="E7" s="243"/>
      <c r="F7" s="255">
        <f>'DOE25'!J203+'DOE25'!J221+'DOE25'!J239</f>
        <v>11470.01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1181166.8199999998</v>
      </c>
      <c r="D8" s="243"/>
      <c r="E8" s="20">
        <f>'DOE25'!L204+'DOE25'!L222+'DOE25'!L240-F8-G8-D9-D11</f>
        <v>1157222.73</v>
      </c>
      <c r="F8" s="255">
        <f>'DOE25'!J204+'DOE25'!J222+'DOE25'!J240</f>
        <v>6807.41</v>
      </c>
      <c r="G8" s="53">
        <f>'DOE25'!K204+'DOE25'!K222+'DOE25'!K240</f>
        <v>17136.68</v>
      </c>
      <c r="H8" s="259"/>
    </row>
    <row r="9" spans="1:9" x14ac:dyDescent="0.2">
      <c r="A9" s="32">
        <v>2310</v>
      </c>
      <c r="B9" t="s">
        <v>812</v>
      </c>
      <c r="C9" s="245">
        <f t="shared" si="0"/>
        <v>36978.85</v>
      </c>
      <c r="D9" s="244">
        <v>36978.85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39500</v>
      </c>
      <c r="D10" s="243"/>
      <c r="E10" s="244">
        <v>39500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522451.08</v>
      </c>
      <c r="D11" s="244">
        <v>522451.08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2191418.04</v>
      </c>
      <c r="D12" s="20">
        <f>'DOE25'!L205+'DOE25'!L223+'DOE25'!L241-F12-G12</f>
        <v>2176964.9200000004</v>
      </c>
      <c r="E12" s="243"/>
      <c r="F12" s="255">
        <f>'DOE25'!J205+'DOE25'!J223+'DOE25'!J241</f>
        <v>2564.61</v>
      </c>
      <c r="G12" s="53">
        <f>'DOE25'!K205+'DOE25'!K223+'DOE25'!K241</f>
        <v>11888.51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3734483.81</v>
      </c>
      <c r="D14" s="20">
        <f>'DOE25'!L207+'DOE25'!L225+'DOE25'!L243-F14-G14</f>
        <v>3713422.31</v>
      </c>
      <c r="E14" s="243"/>
      <c r="F14" s="255">
        <f>'DOE25'!J207+'DOE25'!J225+'DOE25'!J243</f>
        <v>21061.5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2339567.62</v>
      </c>
      <c r="D15" s="20">
        <f>'DOE25'!L208+'DOE25'!L226+'DOE25'!L244-F15-G15</f>
        <v>2339567.62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16325.79</v>
      </c>
      <c r="D17" s="20">
        <f>'DOE25'!L251-F17-G17</f>
        <v>16325.79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2068065.17</v>
      </c>
      <c r="D25" s="243"/>
      <c r="E25" s="243"/>
      <c r="F25" s="258"/>
      <c r="G25" s="256"/>
      <c r="H25" s="257">
        <f>'DOE25'!L260+'DOE25'!L261+'DOE25'!L341+'DOE25'!L342</f>
        <v>2068065.17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582708.18999999994</v>
      </c>
      <c r="D29" s="20">
        <f>'DOE25'!L358+'DOE25'!L359+'DOE25'!L360-'DOE25'!I367-F29-G29</f>
        <v>579298.56999999995</v>
      </c>
      <c r="E29" s="243"/>
      <c r="F29" s="255">
        <f>'DOE25'!J358+'DOE25'!J359+'DOE25'!J360</f>
        <v>3171.46</v>
      </c>
      <c r="G29" s="53">
        <f>'DOE25'!K358+'DOE25'!K359+'DOE25'!K360</f>
        <v>238.15999999999997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900495.53</v>
      </c>
      <c r="D31" s="20">
        <f>'DOE25'!L290+'DOE25'!L309+'DOE25'!L328+'DOE25'!L333+'DOE25'!L334+'DOE25'!L335-F31-G31</f>
        <v>867451.34000000008</v>
      </c>
      <c r="E31" s="243"/>
      <c r="F31" s="255">
        <f>'DOE25'!J290+'DOE25'!J309+'DOE25'!J328+'DOE25'!J333+'DOE25'!J334+'DOE25'!J335</f>
        <v>9427.58</v>
      </c>
      <c r="G31" s="53">
        <f>'DOE25'!K290+'DOE25'!K309+'DOE25'!K328+'DOE25'!K333+'DOE25'!K334+'DOE25'!K335</f>
        <v>23616.61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36172072.150000006</v>
      </c>
      <c r="E33" s="246">
        <f>SUM(E5:E31)</f>
        <v>1196722.73</v>
      </c>
      <c r="F33" s="246">
        <f>SUM(F5:F31)</f>
        <v>474663.93</v>
      </c>
      <c r="G33" s="246">
        <f>SUM(G5:G31)</f>
        <v>106456.54000000001</v>
      </c>
      <c r="H33" s="246">
        <f>SUM(H5:H31)</f>
        <v>2068065.17</v>
      </c>
    </row>
    <row r="35" spans="2:8" ht="12" thickBot="1" x14ac:dyDescent="0.25">
      <c r="B35" s="253" t="s">
        <v>841</v>
      </c>
      <c r="D35" s="254">
        <f>E33</f>
        <v>1196722.73</v>
      </c>
      <c r="E35" s="249"/>
    </row>
    <row r="36" spans="2:8" ht="12" thickTop="1" x14ac:dyDescent="0.2">
      <c r="B36" t="s">
        <v>809</v>
      </c>
      <c r="D36" s="20">
        <f>D33</f>
        <v>36172072.150000006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21" activePane="bottomLeft" state="frozen"/>
      <selection activeCell="F24" sqref="F24"/>
      <selection pane="bottomLeft" activeCell="F24" sqref="F24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Kearsarge Regional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1708580.48</v>
      </c>
      <c r="D8" s="95">
        <f>'DOE25'!G9</f>
        <v>0</v>
      </c>
      <c r="E8" s="95">
        <f>'DOE25'!H9</f>
        <v>0</v>
      </c>
      <c r="F8" s="95">
        <f>'DOE25'!I9</f>
        <v>154192.46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3299205.71</v>
      </c>
      <c r="D9" s="95">
        <f>'DOE25'!G10</f>
        <v>281069.37</v>
      </c>
      <c r="E9" s="95">
        <f>'DOE25'!H10</f>
        <v>0</v>
      </c>
      <c r="F9" s="95">
        <f>'DOE25'!I10</f>
        <v>0</v>
      </c>
      <c r="G9" s="95">
        <f>'DOE25'!J10</f>
        <v>2068546.35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581047.42000000004</v>
      </c>
      <c r="D11" s="95">
        <f>'DOE25'!G12</f>
        <v>56616.21</v>
      </c>
      <c r="E11" s="95">
        <f>'DOE25'!H12</f>
        <v>282904.00999999995</v>
      </c>
      <c r="F11" s="95">
        <f>'DOE25'!I12</f>
        <v>0</v>
      </c>
      <c r="G11" s="95">
        <f>'DOE25'!J12</f>
        <v>41248.04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544472.30000000005</v>
      </c>
      <c r="D12" s="95">
        <f>'DOE25'!G13</f>
        <v>42648.070000000022</v>
      </c>
      <c r="E12" s="95">
        <f>'DOE25'!H13</f>
        <v>406667.37</v>
      </c>
      <c r="F12" s="95">
        <f>'DOE25'!I13</f>
        <v>0</v>
      </c>
      <c r="G12" s="95">
        <f>'DOE25'!J13</f>
        <v>10500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57518.14</v>
      </c>
      <c r="D15" s="95">
        <f>'DOE25'!G16</f>
        <v>17758.509999999998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17376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6208200.0499999989</v>
      </c>
      <c r="D18" s="41">
        <f>SUM(D8:D17)</f>
        <v>398092.16000000003</v>
      </c>
      <c r="E18" s="41">
        <f>SUM(E8:E17)</f>
        <v>689571.37999999989</v>
      </c>
      <c r="F18" s="41">
        <f>SUM(F8:F17)</f>
        <v>154192.46</v>
      </c>
      <c r="G18" s="41">
        <f>SUM(G8:G17)</f>
        <v>2120294.39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320843.19999999995</v>
      </c>
      <c r="D21" s="95">
        <f>'DOE25'!G22</f>
        <v>363635.89</v>
      </c>
      <c r="E21" s="95">
        <f>'DOE25'!H22</f>
        <v>231604.59000000003</v>
      </c>
      <c r="F21" s="95">
        <f>'DOE25'!I22</f>
        <v>45732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248981.31</v>
      </c>
      <c r="D23" s="95">
        <f>'DOE25'!G24</f>
        <v>14.5</v>
      </c>
      <c r="E23" s="95">
        <f>'DOE25'!H24</f>
        <v>6012.92</v>
      </c>
      <c r="F23" s="95">
        <f>'DOE25'!I24</f>
        <v>0</v>
      </c>
      <c r="G23" s="95">
        <f>'DOE25'!J24</f>
        <v>51746.04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1394324.43</v>
      </c>
      <c r="D27" s="95">
        <f>'DOE25'!G28</f>
        <v>0</v>
      </c>
      <c r="E27" s="95">
        <f>'DOE25'!H28</f>
        <v>42933.34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22660.409999999996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25213.71</v>
      </c>
      <c r="D29" s="95">
        <f>'DOE25'!G30</f>
        <v>16683.259999999998</v>
      </c>
      <c r="E29" s="95">
        <f>'DOE25'!H30</f>
        <v>314936.21000000002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2012023.0599999998</v>
      </c>
      <c r="D31" s="41">
        <f>SUM(D21:D30)</f>
        <v>380333.65</v>
      </c>
      <c r="E31" s="41">
        <f>SUM(E21:E30)</f>
        <v>595487.06000000006</v>
      </c>
      <c r="F31" s="41">
        <f>SUM(F21:F30)</f>
        <v>45732</v>
      </c>
      <c r="G31" s="41">
        <f>SUM(G21:G30)</f>
        <v>51746.04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57518.14</v>
      </c>
      <c r="D34" s="95">
        <f>'DOE25'!G35</f>
        <v>17758.509999999998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17376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75000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1134635.8899999999</v>
      </c>
      <c r="D44" s="95">
        <f>'DOE25'!G45</f>
        <v>0</v>
      </c>
      <c r="E44" s="95">
        <f>'DOE25'!H45</f>
        <v>94084.32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840826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108460.46</v>
      </c>
      <c r="G47" s="95">
        <f>'DOE25'!J48</f>
        <v>2068548.35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2070820.96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4196176.99</v>
      </c>
      <c r="D50" s="41">
        <f>SUM(D34:D49)</f>
        <v>17758.509999999998</v>
      </c>
      <c r="E50" s="41">
        <f>SUM(E34:E49)</f>
        <v>94084.32</v>
      </c>
      <c r="F50" s="41">
        <f>SUM(F34:F49)</f>
        <v>108460.46</v>
      </c>
      <c r="G50" s="41">
        <f>SUM(G34:G49)</f>
        <v>2068548.35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6208200.0499999998</v>
      </c>
      <c r="D51" s="41">
        <f>D50+D31</f>
        <v>398092.16000000003</v>
      </c>
      <c r="E51" s="41">
        <f>E50+E31</f>
        <v>689571.38000000012</v>
      </c>
      <c r="F51" s="41">
        <f>F50+F31</f>
        <v>154192.46000000002</v>
      </c>
      <c r="G51" s="41">
        <f>G50+G31</f>
        <v>2120294.39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26893936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187537.04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112396.5</v>
      </c>
      <c r="D59" s="95">
        <f>'DOE25'!G96</f>
        <v>5061.7299999999996</v>
      </c>
      <c r="E59" s="95">
        <f>'DOE25'!H96</f>
        <v>0</v>
      </c>
      <c r="F59" s="95">
        <f>'DOE25'!I96</f>
        <v>2008.96</v>
      </c>
      <c r="G59" s="95">
        <f>'DOE25'!J96</f>
        <v>17051.669999999998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356376.44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61431.89</v>
      </c>
      <c r="D61" s="95">
        <f>SUM('DOE25'!G98:G110)</f>
        <v>37359.11</v>
      </c>
      <c r="E61" s="95">
        <f>SUM('DOE25'!H98:H110)</f>
        <v>29096.18</v>
      </c>
      <c r="F61" s="95">
        <f>SUM('DOE25'!I98:I110)</f>
        <v>0</v>
      </c>
      <c r="G61" s="95">
        <f>SUM('DOE25'!J98:J110)</f>
        <v>35322.129999999997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361365.43000000005</v>
      </c>
      <c r="D62" s="130">
        <f>SUM(D57:D61)</f>
        <v>398797.27999999997</v>
      </c>
      <c r="E62" s="130">
        <f>SUM(E57:E61)</f>
        <v>29096.18</v>
      </c>
      <c r="F62" s="130">
        <f>SUM(F57:F61)</f>
        <v>2008.96</v>
      </c>
      <c r="G62" s="130">
        <f>SUM(G57:G61)</f>
        <v>52373.799999999996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27255301.43</v>
      </c>
      <c r="D63" s="22">
        <f>D56+D62</f>
        <v>398797.27999999997</v>
      </c>
      <c r="E63" s="22">
        <f>E56+E62</f>
        <v>29096.18</v>
      </c>
      <c r="F63" s="22">
        <f>F56+F62</f>
        <v>2008.96</v>
      </c>
      <c r="G63" s="22">
        <f>G56+G62</f>
        <v>52373.799999999996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2964248.58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6739097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5842.95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9709188.5299999993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703231.57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612577.64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36767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6503.99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1352576.21</v>
      </c>
      <c r="D78" s="130">
        <f>SUM(D72:D77)</f>
        <v>6503.99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11061764.739999998</v>
      </c>
      <c r="D81" s="130">
        <f>SUM(D79:D80)+D78+D70</f>
        <v>6503.99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238187.44</v>
      </c>
      <c r="D88" s="95">
        <f>SUM('DOE25'!G153:G161)</f>
        <v>200397.02</v>
      </c>
      <c r="E88" s="95">
        <f>SUM('DOE25'!H153:H161)</f>
        <v>871399.35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238187.44</v>
      </c>
      <c r="D91" s="131">
        <f>SUM(D85:D90)</f>
        <v>200397.02</v>
      </c>
      <c r="E91" s="131">
        <f>SUM(E85:E90)</f>
        <v>871399.35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51554.17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10032.01</v>
      </c>
      <c r="E96" s="95">
        <f>'DOE25'!H179</f>
        <v>0</v>
      </c>
      <c r="F96" s="95">
        <f>'DOE25'!I179</f>
        <v>0</v>
      </c>
      <c r="G96" s="95">
        <f>'DOE25'!J179</f>
        <v>75000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51554.17</v>
      </c>
      <c r="D103" s="86">
        <f>SUM(D93:D102)</f>
        <v>10032.01</v>
      </c>
      <c r="E103" s="86">
        <f>SUM(E93:E102)</f>
        <v>0</v>
      </c>
      <c r="F103" s="86">
        <f>SUM(F93:F102)</f>
        <v>0</v>
      </c>
      <c r="G103" s="86">
        <f>SUM(G93:G102)</f>
        <v>75000</v>
      </c>
    </row>
    <row r="104" spans="1:7" ht="12.75" thickTop="1" thickBot="1" x14ac:dyDescent="0.25">
      <c r="A104" s="33" t="s">
        <v>759</v>
      </c>
      <c r="C104" s="86">
        <f>C63+C81+C91+C103</f>
        <v>38606807.780000001</v>
      </c>
      <c r="D104" s="86">
        <f>D63+D81+D91+D103</f>
        <v>615730.29999999993</v>
      </c>
      <c r="E104" s="86">
        <f>E63+E81+E91+E103</f>
        <v>900495.53</v>
      </c>
      <c r="F104" s="86">
        <f>F63+F81+F91+F103</f>
        <v>2008.96</v>
      </c>
      <c r="G104" s="86">
        <f>G63+G81+G103</f>
        <v>127373.79999999999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16742513.4</v>
      </c>
      <c r="D109" s="24" t="s">
        <v>286</v>
      </c>
      <c r="E109" s="95">
        <f>('DOE25'!L276)+('DOE25'!L295)+('DOE25'!L314)</f>
        <v>305847.06000000006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6761555.3200000003</v>
      </c>
      <c r="D110" s="24" t="s">
        <v>286</v>
      </c>
      <c r="E110" s="95">
        <f>('DOE25'!L277)+('DOE25'!L296)+('DOE25'!L315)</f>
        <v>331430.37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104884.89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487304.85000000003</v>
      </c>
      <c r="D112" s="24" t="s">
        <v>286</v>
      </c>
      <c r="E112" s="95">
        <f>+('DOE25'!L279)+('DOE25'!L298)+('DOE25'!L317)</f>
        <v>6022.31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16325.79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24112584.25</v>
      </c>
      <c r="D115" s="86">
        <f>SUM(D109:D114)</f>
        <v>0</v>
      </c>
      <c r="E115" s="86">
        <f>SUM(E109:E114)</f>
        <v>643299.74000000011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1668584.8</v>
      </c>
      <c r="D118" s="24" t="s">
        <v>286</v>
      </c>
      <c r="E118" s="95">
        <f>+('DOE25'!L281)+('DOE25'!L300)+('DOE25'!L319)</f>
        <v>123482.91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639976.36</v>
      </c>
      <c r="D119" s="24" t="s">
        <v>286</v>
      </c>
      <c r="E119" s="95">
        <f>+('DOE25'!L282)+('DOE25'!L301)+('DOE25'!L320)</f>
        <v>73061.37999999999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1740596.75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2191418.04</v>
      </c>
      <c r="D121" s="24" t="s">
        <v>286</v>
      </c>
      <c r="E121" s="95">
        <f>+('DOE25'!L284)+('DOE25'!L303)+('DOE25'!L322)</f>
        <v>36932.04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3734483.81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2339567.62</v>
      </c>
      <c r="D124" s="24" t="s">
        <v>286</v>
      </c>
      <c r="E124" s="95">
        <f>+('DOE25'!L287)+('DOE25'!L306)+('DOE25'!L325)</f>
        <v>102.85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23616.61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615730.29999999993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12314627.379999999</v>
      </c>
      <c r="D128" s="86">
        <f>SUM(D118:D127)</f>
        <v>615730.29999999993</v>
      </c>
      <c r="E128" s="86">
        <f>SUM(E118:E127)</f>
        <v>257195.78999999998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1269593.56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798471.61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45154.52</v>
      </c>
    </row>
    <row r="135" spans="1:7" x14ac:dyDescent="0.2">
      <c r="A135" t="s">
        <v>233</v>
      </c>
      <c r="B135" s="32" t="s">
        <v>234</v>
      </c>
      <c r="C135" s="95">
        <f>'DOE25'!L263</f>
        <v>10032.01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127373.79999999999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-52373.799999999988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2153097.1800000002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45154.52</v>
      </c>
    </row>
    <row r="145" spans="1:9" ht="12.75" thickTop="1" thickBot="1" x14ac:dyDescent="0.25">
      <c r="A145" s="33" t="s">
        <v>244</v>
      </c>
      <c r="C145" s="86">
        <f>(C115+C128+C144)</f>
        <v>38580308.809999995</v>
      </c>
      <c r="D145" s="86">
        <f>(D115+D128+D144)</f>
        <v>615730.29999999993</v>
      </c>
      <c r="E145" s="86">
        <f>(E115+E128+E144)</f>
        <v>900495.53</v>
      </c>
      <c r="F145" s="86">
        <f>(F115+F128+F144)</f>
        <v>0</v>
      </c>
      <c r="G145" s="86">
        <f>(G115+G128+G144)</f>
        <v>45154.52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15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08/06</v>
      </c>
      <c r="C152" s="152" t="str">
        <f>'DOE25'!G491</f>
        <v>11/10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08/26</v>
      </c>
      <c r="C153" s="152" t="str">
        <f>'DOE25'!G492</f>
        <v>7/25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24450150</v>
      </c>
      <c r="C154" s="137">
        <f>'DOE25'!G493</f>
        <v>2231283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4.6100000000000003</v>
      </c>
      <c r="C155" s="137">
        <f>'DOE25'!G494</f>
        <v>4.375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9183609.4199999999</v>
      </c>
      <c r="C156" s="137">
        <f>'DOE25'!G495</f>
        <v>1338769.8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10522379.220000001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1120841.3599999999</v>
      </c>
      <c r="C158" s="137">
        <f>'DOE25'!G497</f>
        <v>148752.20000000001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1269593.5599999998</v>
      </c>
    </row>
    <row r="159" spans="1:9" x14ac:dyDescent="0.2">
      <c r="A159" s="22" t="s">
        <v>35</v>
      </c>
      <c r="B159" s="137">
        <f>'DOE25'!F498</f>
        <v>8062768.0600000005</v>
      </c>
      <c r="C159" s="137">
        <f>'DOE25'!G498</f>
        <v>1190017.6000000001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9252785.6600000001</v>
      </c>
    </row>
    <row r="160" spans="1:9" x14ac:dyDescent="0.2">
      <c r="A160" s="22" t="s">
        <v>36</v>
      </c>
      <c r="B160" s="137">
        <f>'DOE25'!F499</f>
        <v>8100584.7699999996</v>
      </c>
      <c r="C160" s="137">
        <f>'DOE25'!G499</f>
        <v>159399.22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8259983.9899999993</v>
      </c>
    </row>
    <row r="161" spans="1:7" x14ac:dyDescent="0.2">
      <c r="A161" s="22" t="s">
        <v>37</v>
      </c>
      <c r="B161" s="137">
        <f>'DOE25'!F500</f>
        <v>16163352.83</v>
      </c>
      <c r="C161" s="137">
        <f>'DOE25'!G500</f>
        <v>1349416.82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17512769.649999999</v>
      </c>
    </row>
    <row r="162" spans="1:7" x14ac:dyDescent="0.2">
      <c r="A162" s="22" t="s">
        <v>38</v>
      </c>
      <c r="B162" s="137">
        <f>'DOE25'!F501</f>
        <v>1070586.78</v>
      </c>
      <c r="C162" s="137">
        <f>'DOE25'!G501</f>
        <v>148752.20000000001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1219338.98</v>
      </c>
    </row>
    <row r="163" spans="1:7" x14ac:dyDescent="0.2">
      <c r="A163" s="22" t="s">
        <v>39</v>
      </c>
      <c r="B163" s="137">
        <f>'DOE25'!F502</f>
        <v>798710.72</v>
      </c>
      <c r="C163" s="137">
        <f>'DOE25'!G502</f>
        <v>48782.57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847493.28999999992</v>
      </c>
    </row>
    <row r="164" spans="1:7" x14ac:dyDescent="0.2">
      <c r="A164" s="22" t="s">
        <v>246</v>
      </c>
      <c r="B164" s="137">
        <f>'DOE25'!F503</f>
        <v>1869297.5</v>
      </c>
      <c r="C164" s="137">
        <f>'DOE25'!G503</f>
        <v>197534.77000000002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2066832.27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10" workbookViewId="0">
      <selection activeCell="F24" sqref="F2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5" t="s">
        <v>734</v>
      </c>
      <c r="B1" s="285"/>
      <c r="C1" s="285"/>
      <c r="D1" s="285"/>
    </row>
    <row r="2" spans="1:4" x14ac:dyDescent="0.2">
      <c r="A2" s="187" t="s">
        <v>711</v>
      </c>
      <c r="B2" s="186" t="str">
        <f>'DOE25'!A2</f>
        <v>Kearsarge Regional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16834</v>
      </c>
    </row>
    <row r="5" spans="1:4" x14ac:dyDescent="0.2">
      <c r="B5" t="s">
        <v>698</v>
      </c>
      <c r="C5" s="179">
        <f>IF('DOE25'!G665+'DOE25'!G670=0,0,ROUND('DOE25'!G672,0))</f>
        <v>21603</v>
      </c>
    </row>
    <row r="6" spans="1:4" x14ac:dyDescent="0.2">
      <c r="B6" t="s">
        <v>62</v>
      </c>
      <c r="C6" s="179">
        <f>IF('DOE25'!H665+'DOE25'!H670=0,0,ROUND('DOE25'!H672,0))</f>
        <v>20669</v>
      </c>
    </row>
    <row r="7" spans="1:4" x14ac:dyDescent="0.2">
      <c r="B7" t="s">
        <v>699</v>
      </c>
      <c r="C7" s="179">
        <f>IF('DOE25'!I665+'DOE25'!I670=0,0,ROUND('DOE25'!I672,0))</f>
        <v>19123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17048360</v>
      </c>
      <c r="D10" s="182">
        <f>ROUND((C10/$C$28)*100,1)</f>
        <v>44.5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7092986</v>
      </c>
      <c r="D11" s="182">
        <f>ROUND((C11/$C$28)*100,1)</f>
        <v>18.5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104885</v>
      </c>
      <c r="D12" s="182">
        <f>ROUND((C12/$C$28)*100,1)</f>
        <v>0.3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493327</v>
      </c>
      <c r="D13" s="182">
        <f>ROUND((C13/$C$28)*100,1)</f>
        <v>1.3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1792068</v>
      </c>
      <c r="D15" s="182">
        <f t="shared" ref="D15:D27" si="0">ROUND((C15/$C$28)*100,1)</f>
        <v>4.7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713038</v>
      </c>
      <c r="D16" s="182">
        <f t="shared" si="0"/>
        <v>1.9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1764213</v>
      </c>
      <c r="D17" s="182">
        <f t="shared" si="0"/>
        <v>4.5999999999999996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2228350</v>
      </c>
      <c r="D18" s="182">
        <f t="shared" si="0"/>
        <v>5.8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3734484</v>
      </c>
      <c r="D20" s="182">
        <f t="shared" si="0"/>
        <v>9.6999999999999993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2339670</v>
      </c>
      <c r="D21" s="182">
        <f t="shared" si="0"/>
        <v>6.1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16326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798472</v>
      </c>
      <c r="D25" s="182">
        <f t="shared" si="0"/>
        <v>2.1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221994.45</v>
      </c>
      <c r="D27" s="182">
        <f t="shared" si="0"/>
        <v>0.6</v>
      </c>
    </row>
    <row r="28" spans="1:4" x14ac:dyDescent="0.2">
      <c r="B28" s="187" t="s">
        <v>717</v>
      </c>
      <c r="C28" s="180">
        <f>SUM(C10:C27)</f>
        <v>38348173.450000003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38348173.450000003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1269594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26893936</v>
      </c>
      <c r="D35" s="182">
        <f t="shared" ref="D35:D40" si="1">ROUND((C35/$C$41)*100,1)</f>
        <v>67.7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449906.10000000149</v>
      </c>
      <c r="D36" s="182">
        <f t="shared" si="1"/>
        <v>1.1000000000000001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9703346</v>
      </c>
      <c r="D37" s="182">
        <f t="shared" si="1"/>
        <v>24.4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1364923</v>
      </c>
      <c r="D38" s="182">
        <f t="shared" si="1"/>
        <v>3.4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1309984</v>
      </c>
      <c r="D39" s="182">
        <f t="shared" si="1"/>
        <v>3.3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39722095.100000001</v>
      </c>
      <c r="D41" s="184">
        <f>SUM(D35:D40)</f>
        <v>99.899999999999991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51554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24" sqref="F24"/>
      <selection pane="bottomLeft" activeCell="C24" sqref="C24:M2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0" t="s">
        <v>764</v>
      </c>
      <c r="B1" s="291"/>
      <c r="C1" s="291"/>
      <c r="D1" s="291"/>
      <c r="E1" s="291"/>
      <c r="F1" s="291"/>
      <c r="G1" s="291"/>
      <c r="H1" s="291"/>
      <c r="I1" s="291"/>
      <c r="J1" s="213"/>
      <c r="K1" s="213"/>
      <c r="L1" s="213"/>
      <c r="M1" s="214"/>
    </row>
    <row r="2" spans="1:26" ht="12.75" x14ac:dyDescent="0.2">
      <c r="A2" s="296" t="s">
        <v>761</v>
      </c>
      <c r="B2" s="297"/>
      <c r="C2" s="297"/>
      <c r="D2" s="297"/>
      <c r="E2" s="297"/>
      <c r="F2" s="294" t="str">
        <f>'DOE25'!A2</f>
        <v>Kearsarge Regional School District</v>
      </c>
      <c r="G2" s="295"/>
      <c r="H2" s="295"/>
      <c r="I2" s="295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2" t="s">
        <v>765</v>
      </c>
      <c r="D3" s="292"/>
      <c r="E3" s="292"/>
      <c r="F3" s="292"/>
      <c r="G3" s="292"/>
      <c r="H3" s="292"/>
      <c r="I3" s="292"/>
      <c r="J3" s="292"/>
      <c r="K3" s="292"/>
      <c r="L3" s="292"/>
      <c r="M3" s="293"/>
    </row>
    <row r="4" spans="1:26" x14ac:dyDescent="0.2">
      <c r="A4" s="218"/>
      <c r="B4" s="219"/>
      <c r="C4" s="288" t="s">
        <v>916</v>
      </c>
      <c r="D4" s="288"/>
      <c r="E4" s="288"/>
      <c r="F4" s="288"/>
      <c r="G4" s="288"/>
      <c r="H4" s="288"/>
      <c r="I4" s="288"/>
      <c r="J4" s="288"/>
      <c r="K4" s="288"/>
      <c r="L4" s="288"/>
      <c r="M4" s="289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9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10</v>
      </c>
      <c r="B6" s="219">
        <v>18</v>
      </c>
      <c r="C6" s="288" t="s">
        <v>917</v>
      </c>
      <c r="D6" s="288"/>
      <c r="E6" s="288"/>
      <c r="F6" s="288"/>
      <c r="G6" s="288"/>
      <c r="H6" s="288"/>
      <c r="I6" s="288"/>
      <c r="J6" s="288"/>
      <c r="K6" s="288"/>
      <c r="L6" s="288"/>
      <c r="M6" s="289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"/>
      <c r="B7" s="21"/>
      <c r="C7" s="21" t="s">
        <v>919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>
        <v>14</v>
      </c>
      <c r="B8" s="219">
        <v>17</v>
      </c>
      <c r="C8" s="288" t="s">
        <v>920</v>
      </c>
      <c r="D8" s="288"/>
      <c r="E8" s="288"/>
      <c r="F8" s="288"/>
      <c r="G8" s="288"/>
      <c r="H8" s="288"/>
      <c r="I8" s="288"/>
      <c r="J8" s="288"/>
      <c r="K8" s="288"/>
      <c r="L8" s="288"/>
      <c r="M8" s="289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>
        <v>22</v>
      </c>
      <c r="B9" s="219">
        <v>21</v>
      </c>
      <c r="C9" s="288" t="s">
        <v>921</v>
      </c>
      <c r="D9" s="288"/>
      <c r="E9" s="288"/>
      <c r="F9" s="288"/>
      <c r="G9" s="288"/>
      <c r="H9" s="288"/>
      <c r="I9" s="288"/>
      <c r="J9" s="288"/>
      <c r="K9" s="288"/>
      <c r="L9" s="288"/>
      <c r="M9" s="289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>
        <v>23</v>
      </c>
      <c r="B10" s="219">
        <v>8</v>
      </c>
      <c r="C10" s="288" t="s">
        <v>922</v>
      </c>
      <c r="D10" s="288"/>
      <c r="E10" s="288"/>
      <c r="F10" s="288"/>
      <c r="G10" s="288"/>
      <c r="H10" s="288"/>
      <c r="I10" s="288"/>
      <c r="J10" s="288"/>
      <c r="K10" s="288"/>
      <c r="L10" s="288"/>
      <c r="M10" s="289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>
        <v>23</v>
      </c>
      <c r="B11" s="219">
        <v>12</v>
      </c>
      <c r="C11" s="288" t="s">
        <v>923</v>
      </c>
      <c r="D11" s="288"/>
      <c r="E11" s="288"/>
      <c r="F11" s="288"/>
      <c r="G11" s="288"/>
      <c r="H11" s="288"/>
      <c r="I11" s="288"/>
      <c r="J11" s="288"/>
      <c r="K11" s="288"/>
      <c r="L11" s="288"/>
      <c r="M11" s="289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8"/>
      <c r="D12" s="288"/>
      <c r="E12" s="288"/>
      <c r="F12" s="288"/>
      <c r="G12" s="288"/>
      <c r="H12" s="288"/>
      <c r="I12" s="288"/>
      <c r="J12" s="288"/>
      <c r="K12" s="288"/>
      <c r="L12" s="288"/>
      <c r="M12" s="289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8"/>
      <c r="D13" s="288"/>
      <c r="E13" s="288"/>
      <c r="F13" s="288"/>
      <c r="G13" s="288"/>
      <c r="H13" s="288"/>
      <c r="I13" s="288"/>
      <c r="J13" s="288"/>
      <c r="K13" s="288"/>
      <c r="L13" s="288"/>
      <c r="M13" s="289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8"/>
      <c r="D14" s="288"/>
      <c r="E14" s="288"/>
      <c r="F14" s="288"/>
      <c r="G14" s="288"/>
      <c r="H14" s="288"/>
      <c r="I14" s="288"/>
      <c r="J14" s="288"/>
      <c r="K14" s="288"/>
      <c r="L14" s="288"/>
      <c r="M14" s="289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8"/>
      <c r="D15" s="288"/>
      <c r="E15" s="288"/>
      <c r="F15" s="288"/>
      <c r="G15" s="288"/>
      <c r="H15" s="288"/>
      <c r="I15" s="288"/>
      <c r="J15" s="288"/>
      <c r="K15" s="288"/>
      <c r="L15" s="288"/>
      <c r="M15" s="289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8"/>
      <c r="D16" s="288"/>
      <c r="E16" s="288"/>
      <c r="F16" s="288"/>
      <c r="G16" s="288"/>
      <c r="H16" s="288"/>
      <c r="I16" s="288"/>
      <c r="J16" s="288"/>
      <c r="K16" s="288"/>
      <c r="L16" s="288"/>
      <c r="M16" s="289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8"/>
      <c r="D17" s="288"/>
      <c r="E17" s="288"/>
      <c r="F17" s="288"/>
      <c r="G17" s="288"/>
      <c r="H17" s="288"/>
      <c r="I17" s="288"/>
      <c r="J17" s="288"/>
      <c r="K17" s="288"/>
      <c r="L17" s="288"/>
      <c r="M17" s="289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8"/>
      <c r="D18" s="288"/>
      <c r="E18" s="288"/>
      <c r="F18" s="288"/>
      <c r="G18" s="288"/>
      <c r="H18" s="288"/>
      <c r="I18" s="288"/>
      <c r="J18" s="288"/>
      <c r="K18" s="288"/>
      <c r="L18" s="288"/>
      <c r="M18" s="289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8"/>
      <c r="D19" s="288"/>
      <c r="E19" s="288"/>
      <c r="F19" s="288"/>
      <c r="G19" s="288"/>
      <c r="H19" s="288"/>
      <c r="I19" s="288"/>
      <c r="J19" s="288"/>
      <c r="K19" s="288"/>
      <c r="L19" s="288"/>
      <c r="M19" s="289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8"/>
      <c r="D20" s="288"/>
      <c r="E20" s="288"/>
      <c r="F20" s="288"/>
      <c r="G20" s="288"/>
      <c r="H20" s="288"/>
      <c r="I20" s="288"/>
      <c r="J20" s="288"/>
      <c r="K20" s="288"/>
      <c r="L20" s="288"/>
      <c r="M20" s="289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8"/>
      <c r="D21" s="288"/>
      <c r="E21" s="288"/>
      <c r="F21" s="288"/>
      <c r="G21" s="288"/>
      <c r="H21" s="288"/>
      <c r="I21" s="288"/>
      <c r="J21" s="288"/>
      <c r="K21" s="288"/>
      <c r="L21" s="288"/>
      <c r="M21" s="289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8"/>
      <c r="D22" s="288"/>
      <c r="E22" s="288"/>
      <c r="F22" s="288"/>
      <c r="G22" s="288"/>
      <c r="H22" s="288"/>
      <c r="I22" s="288"/>
      <c r="J22" s="288"/>
      <c r="K22" s="288"/>
      <c r="L22" s="288"/>
      <c r="M22" s="289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8"/>
      <c r="D23" s="288"/>
      <c r="E23" s="288"/>
      <c r="F23" s="288"/>
      <c r="G23" s="288"/>
      <c r="H23" s="288"/>
      <c r="I23" s="288"/>
      <c r="J23" s="288"/>
      <c r="K23" s="288"/>
      <c r="L23" s="288"/>
      <c r="M23" s="289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8"/>
      <c r="D24" s="288"/>
      <c r="E24" s="288"/>
      <c r="F24" s="288"/>
      <c r="G24" s="288"/>
      <c r="H24" s="288"/>
      <c r="I24" s="288"/>
      <c r="J24" s="288"/>
      <c r="K24" s="288"/>
      <c r="L24" s="288"/>
      <c r="M24" s="289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8"/>
      <c r="D25" s="288"/>
      <c r="E25" s="288"/>
      <c r="F25" s="288"/>
      <c r="G25" s="288"/>
      <c r="H25" s="288"/>
      <c r="I25" s="288"/>
      <c r="J25" s="288"/>
      <c r="K25" s="288"/>
      <c r="L25" s="288"/>
      <c r="M25" s="289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9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8"/>
      <c r="D27" s="288"/>
      <c r="E27" s="288"/>
      <c r="F27" s="288"/>
      <c r="G27" s="288"/>
      <c r="H27" s="288"/>
      <c r="I27" s="288"/>
      <c r="J27" s="288"/>
      <c r="K27" s="288"/>
      <c r="L27" s="288"/>
      <c r="M27" s="289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8"/>
      <c r="D28" s="288"/>
      <c r="E28" s="288"/>
      <c r="F28" s="288"/>
      <c r="G28" s="288"/>
      <c r="H28" s="288"/>
      <c r="I28" s="288"/>
      <c r="J28" s="288"/>
      <c r="K28" s="288"/>
      <c r="L28" s="288"/>
      <c r="M28" s="289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8"/>
      <c r="D29" s="288"/>
      <c r="E29" s="288"/>
      <c r="F29" s="288"/>
      <c r="G29" s="288"/>
      <c r="H29" s="288"/>
      <c r="I29" s="288"/>
      <c r="J29" s="288"/>
      <c r="K29" s="288"/>
      <c r="L29" s="288"/>
      <c r="M29" s="289"/>
      <c r="N29" s="211"/>
      <c r="O29" s="211"/>
      <c r="P29" s="287"/>
      <c r="Q29" s="287"/>
      <c r="R29" s="287"/>
      <c r="S29" s="287"/>
      <c r="T29" s="287"/>
      <c r="U29" s="287"/>
      <c r="V29" s="287"/>
      <c r="W29" s="287"/>
      <c r="X29" s="287"/>
      <c r="Y29" s="287"/>
      <c r="Z29" s="287"/>
      <c r="AA29" s="207"/>
      <c r="AB29" s="207"/>
      <c r="AC29" s="286"/>
      <c r="AD29" s="286"/>
      <c r="AE29" s="286"/>
      <c r="AF29" s="286"/>
      <c r="AG29" s="286"/>
      <c r="AH29" s="286"/>
      <c r="AI29" s="286"/>
      <c r="AJ29" s="286"/>
      <c r="AK29" s="286"/>
      <c r="AL29" s="286"/>
      <c r="AM29" s="286"/>
      <c r="AN29" s="207"/>
      <c r="AO29" s="207"/>
      <c r="AP29" s="286"/>
      <c r="AQ29" s="286"/>
      <c r="AR29" s="286"/>
      <c r="AS29" s="286"/>
      <c r="AT29" s="286"/>
      <c r="AU29" s="286"/>
      <c r="AV29" s="286"/>
      <c r="AW29" s="286"/>
      <c r="AX29" s="286"/>
      <c r="AY29" s="286"/>
      <c r="AZ29" s="286"/>
      <c r="BA29" s="207"/>
      <c r="BB29" s="207"/>
      <c r="BC29" s="286"/>
      <c r="BD29" s="286"/>
      <c r="BE29" s="286"/>
      <c r="BF29" s="286"/>
      <c r="BG29" s="286"/>
      <c r="BH29" s="286"/>
      <c r="BI29" s="286"/>
      <c r="BJ29" s="286"/>
      <c r="BK29" s="286"/>
      <c r="BL29" s="286"/>
      <c r="BM29" s="286"/>
      <c r="BN29" s="207"/>
      <c r="BO29" s="207"/>
      <c r="BP29" s="286"/>
      <c r="BQ29" s="286"/>
      <c r="BR29" s="286"/>
      <c r="BS29" s="286"/>
      <c r="BT29" s="286"/>
      <c r="BU29" s="286"/>
      <c r="BV29" s="286"/>
      <c r="BW29" s="286"/>
      <c r="BX29" s="286"/>
      <c r="BY29" s="286"/>
      <c r="BZ29" s="286"/>
      <c r="CA29" s="207"/>
      <c r="CB29" s="207"/>
      <c r="CC29" s="286"/>
      <c r="CD29" s="286"/>
      <c r="CE29" s="286"/>
      <c r="CF29" s="286"/>
      <c r="CG29" s="286"/>
      <c r="CH29" s="286"/>
      <c r="CI29" s="286"/>
      <c r="CJ29" s="286"/>
      <c r="CK29" s="286"/>
      <c r="CL29" s="286"/>
      <c r="CM29" s="286"/>
      <c r="CN29" s="207"/>
      <c r="CO29" s="207"/>
      <c r="CP29" s="286"/>
      <c r="CQ29" s="286"/>
      <c r="CR29" s="286"/>
      <c r="CS29" s="286"/>
      <c r="CT29" s="286"/>
      <c r="CU29" s="286"/>
      <c r="CV29" s="286"/>
      <c r="CW29" s="286"/>
      <c r="CX29" s="286"/>
      <c r="CY29" s="286"/>
      <c r="CZ29" s="286"/>
      <c r="DA29" s="207"/>
      <c r="DB29" s="207"/>
      <c r="DC29" s="286"/>
      <c r="DD29" s="286"/>
      <c r="DE29" s="286"/>
      <c r="DF29" s="286"/>
      <c r="DG29" s="286"/>
      <c r="DH29" s="286"/>
      <c r="DI29" s="286"/>
      <c r="DJ29" s="286"/>
      <c r="DK29" s="286"/>
      <c r="DL29" s="286"/>
      <c r="DM29" s="286"/>
      <c r="DN29" s="207"/>
      <c r="DO29" s="207"/>
      <c r="DP29" s="286"/>
      <c r="DQ29" s="286"/>
      <c r="DR29" s="286"/>
      <c r="DS29" s="286"/>
      <c r="DT29" s="286"/>
      <c r="DU29" s="286"/>
      <c r="DV29" s="286"/>
      <c r="DW29" s="286"/>
      <c r="DX29" s="286"/>
      <c r="DY29" s="286"/>
      <c r="DZ29" s="286"/>
      <c r="EA29" s="207"/>
      <c r="EB29" s="207"/>
      <c r="EC29" s="286"/>
      <c r="ED29" s="286"/>
      <c r="EE29" s="286"/>
      <c r="EF29" s="286"/>
      <c r="EG29" s="286"/>
      <c r="EH29" s="286"/>
      <c r="EI29" s="286"/>
      <c r="EJ29" s="286"/>
      <c r="EK29" s="286"/>
      <c r="EL29" s="286"/>
      <c r="EM29" s="286"/>
      <c r="EN29" s="207"/>
      <c r="EO29" s="207"/>
      <c r="EP29" s="286"/>
      <c r="EQ29" s="286"/>
      <c r="ER29" s="286"/>
      <c r="ES29" s="286"/>
      <c r="ET29" s="286"/>
      <c r="EU29" s="286"/>
      <c r="EV29" s="286"/>
      <c r="EW29" s="286"/>
      <c r="EX29" s="286"/>
      <c r="EY29" s="286"/>
      <c r="EZ29" s="286"/>
      <c r="FA29" s="207"/>
      <c r="FB29" s="207"/>
      <c r="FC29" s="286"/>
      <c r="FD29" s="286"/>
      <c r="FE29" s="286"/>
      <c r="FF29" s="286"/>
      <c r="FG29" s="286"/>
      <c r="FH29" s="286"/>
      <c r="FI29" s="286"/>
      <c r="FJ29" s="286"/>
      <c r="FK29" s="286"/>
      <c r="FL29" s="286"/>
      <c r="FM29" s="286"/>
      <c r="FN29" s="207"/>
      <c r="FO29" s="207"/>
      <c r="FP29" s="286"/>
      <c r="FQ29" s="286"/>
      <c r="FR29" s="286"/>
      <c r="FS29" s="286"/>
      <c r="FT29" s="286"/>
      <c r="FU29" s="286"/>
      <c r="FV29" s="286"/>
      <c r="FW29" s="286"/>
      <c r="FX29" s="286"/>
      <c r="FY29" s="286"/>
      <c r="FZ29" s="286"/>
      <c r="GA29" s="207"/>
      <c r="GB29" s="207"/>
      <c r="GC29" s="286"/>
      <c r="GD29" s="286"/>
      <c r="GE29" s="286"/>
      <c r="GF29" s="286"/>
      <c r="GG29" s="286"/>
      <c r="GH29" s="286"/>
      <c r="GI29" s="286"/>
      <c r="GJ29" s="286"/>
      <c r="GK29" s="286"/>
      <c r="GL29" s="286"/>
      <c r="GM29" s="286"/>
      <c r="GN29" s="207"/>
      <c r="GO29" s="207"/>
      <c r="GP29" s="286"/>
      <c r="GQ29" s="286"/>
      <c r="GR29" s="286"/>
      <c r="GS29" s="286"/>
      <c r="GT29" s="286"/>
      <c r="GU29" s="286"/>
      <c r="GV29" s="286"/>
      <c r="GW29" s="286"/>
      <c r="GX29" s="286"/>
      <c r="GY29" s="286"/>
      <c r="GZ29" s="286"/>
      <c r="HA29" s="207"/>
      <c r="HB29" s="207"/>
      <c r="HC29" s="286"/>
      <c r="HD29" s="286"/>
      <c r="HE29" s="286"/>
      <c r="HF29" s="286"/>
      <c r="HG29" s="286"/>
      <c r="HH29" s="286"/>
      <c r="HI29" s="286"/>
      <c r="HJ29" s="286"/>
      <c r="HK29" s="286"/>
      <c r="HL29" s="286"/>
      <c r="HM29" s="286"/>
      <c r="HN29" s="207"/>
      <c r="HO29" s="207"/>
      <c r="HP29" s="286"/>
      <c r="HQ29" s="286"/>
      <c r="HR29" s="286"/>
      <c r="HS29" s="286"/>
      <c r="HT29" s="286"/>
      <c r="HU29" s="286"/>
      <c r="HV29" s="286"/>
      <c r="HW29" s="286"/>
      <c r="HX29" s="286"/>
      <c r="HY29" s="286"/>
      <c r="HZ29" s="286"/>
      <c r="IA29" s="207"/>
      <c r="IB29" s="207"/>
      <c r="IC29" s="286"/>
      <c r="ID29" s="286"/>
      <c r="IE29" s="286"/>
      <c r="IF29" s="286"/>
      <c r="IG29" s="286"/>
      <c r="IH29" s="286"/>
      <c r="II29" s="286"/>
      <c r="IJ29" s="286"/>
      <c r="IK29" s="286"/>
      <c r="IL29" s="286"/>
      <c r="IM29" s="286"/>
      <c r="IN29" s="207"/>
      <c r="IO29" s="207"/>
      <c r="IP29" s="286"/>
      <c r="IQ29" s="286"/>
      <c r="IR29" s="286"/>
      <c r="IS29" s="286"/>
      <c r="IT29" s="286"/>
      <c r="IU29" s="286"/>
      <c r="IV29" s="286"/>
    </row>
    <row r="30" spans="1:256" x14ac:dyDescent="0.2">
      <c r="A30" s="218"/>
      <c r="B30" s="219"/>
      <c r="C30" s="288"/>
      <c r="D30" s="288"/>
      <c r="E30" s="288"/>
      <c r="F30" s="288"/>
      <c r="G30" s="288"/>
      <c r="H30" s="288"/>
      <c r="I30" s="288"/>
      <c r="J30" s="288"/>
      <c r="K30" s="288"/>
      <c r="L30" s="288"/>
      <c r="M30" s="289"/>
      <c r="N30" s="211"/>
      <c r="O30" s="211"/>
      <c r="P30" s="287"/>
      <c r="Q30" s="287"/>
      <c r="R30" s="287"/>
      <c r="S30" s="287"/>
      <c r="T30" s="287"/>
      <c r="U30" s="287"/>
      <c r="V30" s="287"/>
      <c r="W30" s="287"/>
      <c r="X30" s="287"/>
      <c r="Y30" s="287"/>
      <c r="Z30" s="287"/>
      <c r="AA30" s="207"/>
      <c r="AB30" s="207"/>
      <c r="AC30" s="286"/>
      <c r="AD30" s="286"/>
      <c r="AE30" s="286"/>
      <c r="AF30" s="286"/>
      <c r="AG30" s="286"/>
      <c r="AH30" s="286"/>
      <c r="AI30" s="286"/>
      <c r="AJ30" s="286"/>
      <c r="AK30" s="286"/>
      <c r="AL30" s="286"/>
      <c r="AM30" s="286"/>
      <c r="AN30" s="207"/>
      <c r="AO30" s="207"/>
      <c r="AP30" s="286"/>
      <c r="AQ30" s="286"/>
      <c r="AR30" s="286"/>
      <c r="AS30" s="286"/>
      <c r="AT30" s="286"/>
      <c r="AU30" s="286"/>
      <c r="AV30" s="286"/>
      <c r="AW30" s="286"/>
      <c r="AX30" s="286"/>
      <c r="AY30" s="286"/>
      <c r="AZ30" s="286"/>
      <c r="BA30" s="207"/>
      <c r="BB30" s="207"/>
      <c r="BC30" s="286"/>
      <c r="BD30" s="286"/>
      <c r="BE30" s="286"/>
      <c r="BF30" s="286"/>
      <c r="BG30" s="286"/>
      <c r="BH30" s="286"/>
      <c r="BI30" s="286"/>
      <c r="BJ30" s="286"/>
      <c r="BK30" s="286"/>
      <c r="BL30" s="286"/>
      <c r="BM30" s="286"/>
      <c r="BN30" s="207"/>
      <c r="BO30" s="207"/>
      <c r="BP30" s="286"/>
      <c r="BQ30" s="286"/>
      <c r="BR30" s="286"/>
      <c r="BS30" s="286"/>
      <c r="BT30" s="286"/>
      <c r="BU30" s="286"/>
      <c r="BV30" s="286"/>
      <c r="BW30" s="286"/>
      <c r="BX30" s="286"/>
      <c r="BY30" s="286"/>
      <c r="BZ30" s="286"/>
      <c r="CA30" s="207"/>
      <c r="CB30" s="207"/>
      <c r="CC30" s="286"/>
      <c r="CD30" s="286"/>
      <c r="CE30" s="286"/>
      <c r="CF30" s="286"/>
      <c r="CG30" s="286"/>
      <c r="CH30" s="286"/>
      <c r="CI30" s="286"/>
      <c r="CJ30" s="286"/>
      <c r="CK30" s="286"/>
      <c r="CL30" s="286"/>
      <c r="CM30" s="286"/>
      <c r="CN30" s="207"/>
      <c r="CO30" s="207"/>
      <c r="CP30" s="286"/>
      <c r="CQ30" s="286"/>
      <c r="CR30" s="286"/>
      <c r="CS30" s="286"/>
      <c r="CT30" s="286"/>
      <c r="CU30" s="286"/>
      <c r="CV30" s="286"/>
      <c r="CW30" s="286"/>
      <c r="CX30" s="286"/>
      <c r="CY30" s="286"/>
      <c r="CZ30" s="286"/>
      <c r="DA30" s="207"/>
      <c r="DB30" s="207"/>
      <c r="DC30" s="286"/>
      <c r="DD30" s="286"/>
      <c r="DE30" s="286"/>
      <c r="DF30" s="286"/>
      <c r="DG30" s="286"/>
      <c r="DH30" s="286"/>
      <c r="DI30" s="286"/>
      <c r="DJ30" s="286"/>
      <c r="DK30" s="286"/>
      <c r="DL30" s="286"/>
      <c r="DM30" s="286"/>
      <c r="DN30" s="207"/>
      <c r="DO30" s="207"/>
      <c r="DP30" s="286"/>
      <c r="DQ30" s="286"/>
      <c r="DR30" s="286"/>
      <c r="DS30" s="286"/>
      <c r="DT30" s="286"/>
      <c r="DU30" s="286"/>
      <c r="DV30" s="286"/>
      <c r="DW30" s="286"/>
      <c r="DX30" s="286"/>
      <c r="DY30" s="286"/>
      <c r="DZ30" s="286"/>
      <c r="EA30" s="207"/>
      <c r="EB30" s="207"/>
      <c r="EC30" s="286"/>
      <c r="ED30" s="286"/>
      <c r="EE30" s="286"/>
      <c r="EF30" s="286"/>
      <c r="EG30" s="286"/>
      <c r="EH30" s="286"/>
      <c r="EI30" s="286"/>
      <c r="EJ30" s="286"/>
      <c r="EK30" s="286"/>
      <c r="EL30" s="286"/>
      <c r="EM30" s="286"/>
      <c r="EN30" s="207"/>
      <c r="EO30" s="207"/>
      <c r="EP30" s="286"/>
      <c r="EQ30" s="286"/>
      <c r="ER30" s="286"/>
      <c r="ES30" s="286"/>
      <c r="ET30" s="286"/>
      <c r="EU30" s="286"/>
      <c r="EV30" s="286"/>
      <c r="EW30" s="286"/>
      <c r="EX30" s="286"/>
      <c r="EY30" s="286"/>
      <c r="EZ30" s="286"/>
      <c r="FA30" s="207"/>
      <c r="FB30" s="207"/>
      <c r="FC30" s="286"/>
      <c r="FD30" s="286"/>
      <c r="FE30" s="286"/>
      <c r="FF30" s="286"/>
      <c r="FG30" s="286"/>
      <c r="FH30" s="286"/>
      <c r="FI30" s="286"/>
      <c r="FJ30" s="286"/>
      <c r="FK30" s="286"/>
      <c r="FL30" s="286"/>
      <c r="FM30" s="286"/>
      <c r="FN30" s="207"/>
      <c r="FO30" s="207"/>
      <c r="FP30" s="286"/>
      <c r="FQ30" s="286"/>
      <c r="FR30" s="286"/>
      <c r="FS30" s="286"/>
      <c r="FT30" s="286"/>
      <c r="FU30" s="286"/>
      <c r="FV30" s="286"/>
      <c r="FW30" s="286"/>
      <c r="FX30" s="286"/>
      <c r="FY30" s="286"/>
      <c r="FZ30" s="286"/>
      <c r="GA30" s="207"/>
      <c r="GB30" s="207"/>
      <c r="GC30" s="286"/>
      <c r="GD30" s="286"/>
      <c r="GE30" s="286"/>
      <c r="GF30" s="286"/>
      <c r="GG30" s="286"/>
      <c r="GH30" s="286"/>
      <c r="GI30" s="286"/>
      <c r="GJ30" s="286"/>
      <c r="GK30" s="286"/>
      <c r="GL30" s="286"/>
      <c r="GM30" s="286"/>
      <c r="GN30" s="207"/>
      <c r="GO30" s="207"/>
      <c r="GP30" s="286"/>
      <c r="GQ30" s="286"/>
      <c r="GR30" s="286"/>
      <c r="GS30" s="286"/>
      <c r="GT30" s="286"/>
      <c r="GU30" s="286"/>
      <c r="GV30" s="286"/>
      <c r="GW30" s="286"/>
      <c r="GX30" s="286"/>
      <c r="GY30" s="286"/>
      <c r="GZ30" s="286"/>
      <c r="HA30" s="207"/>
      <c r="HB30" s="207"/>
      <c r="HC30" s="286"/>
      <c r="HD30" s="286"/>
      <c r="HE30" s="286"/>
      <c r="HF30" s="286"/>
      <c r="HG30" s="286"/>
      <c r="HH30" s="286"/>
      <c r="HI30" s="286"/>
      <c r="HJ30" s="286"/>
      <c r="HK30" s="286"/>
      <c r="HL30" s="286"/>
      <c r="HM30" s="286"/>
      <c r="HN30" s="207"/>
      <c r="HO30" s="207"/>
      <c r="HP30" s="286"/>
      <c r="HQ30" s="286"/>
      <c r="HR30" s="286"/>
      <c r="HS30" s="286"/>
      <c r="HT30" s="286"/>
      <c r="HU30" s="286"/>
      <c r="HV30" s="286"/>
      <c r="HW30" s="286"/>
      <c r="HX30" s="286"/>
      <c r="HY30" s="286"/>
      <c r="HZ30" s="286"/>
      <c r="IA30" s="207"/>
      <c r="IB30" s="207"/>
      <c r="IC30" s="286"/>
      <c r="ID30" s="286"/>
      <c r="IE30" s="286"/>
      <c r="IF30" s="286"/>
      <c r="IG30" s="286"/>
      <c r="IH30" s="286"/>
      <c r="II30" s="286"/>
      <c r="IJ30" s="286"/>
      <c r="IK30" s="286"/>
      <c r="IL30" s="286"/>
      <c r="IM30" s="286"/>
      <c r="IN30" s="207"/>
      <c r="IO30" s="207"/>
      <c r="IP30" s="286"/>
      <c r="IQ30" s="286"/>
      <c r="IR30" s="286"/>
      <c r="IS30" s="286"/>
      <c r="IT30" s="286"/>
      <c r="IU30" s="286"/>
      <c r="IV30" s="286"/>
    </row>
    <row r="31" spans="1:256" x14ac:dyDescent="0.2">
      <c r="A31" s="218"/>
      <c r="B31" s="219"/>
      <c r="C31" s="288"/>
      <c r="D31" s="288"/>
      <c r="E31" s="288"/>
      <c r="F31" s="288"/>
      <c r="G31" s="288"/>
      <c r="H31" s="288"/>
      <c r="I31" s="288"/>
      <c r="J31" s="288"/>
      <c r="K31" s="288"/>
      <c r="L31" s="288"/>
      <c r="M31" s="289"/>
      <c r="N31" s="211"/>
      <c r="O31" s="211"/>
      <c r="P31" s="287"/>
      <c r="Q31" s="287"/>
      <c r="R31" s="287"/>
      <c r="S31" s="287"/>
      <c r="T31" s="287"/>
      <c r="U31" s="287"/>
      <c r="V31" s="287"/>
      <c r="W31" s="287"/>
      <c r="X31" s="287"/>
      <c r="Y31" s="287"/>
      <c r="Z31" s="287"/>
      <c r="AA31" s="207"/>
      <c r="AB31" s="207"/>
      <c r="AC31" s="286"/>
      <c r="AD31" s="286"/>
      <c r="AE31" s="286"/>
      <c r="AF31" s="286"/>
      <c r="AG31" s="286"/>
      <c r="AH31" s="286"/>
      <c r="AI31" s="286"/>
      <c r="AJ31" s="286"/>
      <c r="AK31" s="286"/>
      <c r="AL31" s="286"/>
      <c r="AM31" s="286"/>
      <c r="AN31" s="207"/>
      <c r="AO31" s="207"/>
      <c r="AP31" s="286"/>
      <c r="AQ31" s="286"/>
      <c r="AR31" s="286"/>
      <c r="AS31" s="286"/>
      <c r="AT31" s="286"/>
      <c r="AU31" s="286"/>
      <c r="AV31" s="286"/>
      <c r="AW31" s="286"/>
      <c r="AX31" s="286"/>
      <c r="AY31" s="286"/>
      <c r="AZ31" s="286"/>
      <c r="BA31" s="207"/>
      <c r="BB31" s="207"/>
      <c r="BC31" s="286"/>
      <c r="BD31" s="286"/>
      <c r="BE31" s="286"/>
      <c r="BF31" s="286"/>
      <c r="BG31" s="286"/>
      <c r="BH31" s="286"/>
      <c r="BI31" s="286"/>
      <c r="BJ31" s="286"/>
      <c r="BK31" s="286"/>
      <c r="BL31" s="286"/>
      <c r="BM31" s="286"/>
      <c r="BN31" s="207"/>
      <c r="BO31" s="207"/>
      <c r="BP31" s="286"/>
      <c r="BQ31" s="286"/>
      <c r="BR31" s="286"/>
      <c r="BS31" s="286"/>
      <c r="BT31" s="286"/>
      <c r="BU31" s="286"/>
      <c r="BV31" s="286"/>
      <c r="BW31" s="286"/>
      <c r="BX31" s="286"/>
      <c r="BY31" s="286"/>
      <c r="BZ31" s="286"/>
      <c r="CA31" s="207"/>
      <c r="CB31" s="207"/>
      <c r="CC31" s="286"/>
      <c r="CD31" s="286"/>
      <c r="CE31" s="286"/>
      <c r="CF31" s="286"/>
      <c r="CG31" s="286"/>
      <c r="CH31" s="286"/>
      <c r="CI31" s="286"/>
      <c r="CJ31" s="286"/>
      <c r="CK31" s="286"/>
      <c r="CL31" s="286"/>
      <c r="CM31" s="286"/>
      <c r="CN31" s="207"/>
      <c r="CO31" s="207"/>
      <c r="CP31" s="286"/>
      <c r="CQ31" s="286"/>
      <c r="CR31" s="286"/>
      <c r="CS31" s="286"/>
      <c r="CT31" s="286"/>
      <c r="CU31" s="286"/>
      <c r="CV31" s="286"/>
      <c r="CW31" s="286"/>
      <c r="CX31" s="286"/>
      <c r="CY31" s="286"/>
      <c r="CZ31" s="286"/>
      <c r="DA31" s="207"/>
      <c r="DB31" s="207"/>
      <c r="DC31" s="286"/>
      <c r="DD31" s="286"/>
      <c r="DE31" s="286"/>
      <c r="DF31" s="286"/>
      <c r="DG31" s="286"/>
      <c r="DH31" s="286"/>
      <c r="DI31" s="286"/>
      <c r="DJ31" s="286"/>
      <c r="DK31" s="286"/>
      <c r="DL31" s="286"/>
      <c r="DM31" s="286"/>
      <c r="DN31" s="207"/>
      <c r="DO31" s="207"/>
      <c r="DP31" s="286"/>
      <c r="DQ31" s="286"/>
      <c r="DR31" s="286"/>
      <c r="DS31" s="286"/>
      <c r="DT31" s="286"/>
      <c r="DU31" s="286"/>
      <c r="DV31" s="286"/>
      <c r="DW31" s="286"/>
      <c r="DX31" s="286"/>
      <c r="DY31" s="286"/>
      <c r="DZ31" s="286"/>
      <c r="EA31" s="207"/>
      <c r="EB31" s="207"/>
      <c r="EC31" s="286"/>
      <c r="ED31" s="286"/>
      <c r="EE31" s="286"/>
      <c r="EF31" s="286"/>
      <c r="EG31" s="286"/>
      <c r="EH31" s="286"/>
      <c r="EI31" s="286"/>
      <c r="EJ31" s="286"/>
      <c r="EK31" s="286"/>
      <c r="EL31" s="286"/>
      <c r="EM31" s="286"/>
      <c r="EN31" s="207"/>
      <c r="EO31" s="207"/>
      <c r="EP31" s="286"/>
      <c r="EQ31" s="286"/>
      <c r="ER31" s="286"/>
      <c r="ES31" s="286"/>
      <c r="ET31" s="286"/>
      <c r="EU31" s="286"/>
      <c r="EV31" s="286"/>
      <c r="EW31" s="286"/>
      <c r="EX31" s="286"/>
      <c r="EY31" s="286"/>
      <c r="EZ31" s="286"/>
      <c r="FA31" s="207"/>
      <c r="FB31" s="207"/>
      <c r="FC31" s="286"/>
      <c r="FD31" s="286"/>
      <c r="FE31" s="286"/>
      <c r="FF31" s="286"/>
      <c r="FG31" s="286"/>
      <c r="FH31" s="286"/>
      <c r="FI31" s="286"/>
      <c r="FJ31" s="286"/>
      <c r="FK31" s="286"/>
      <c r="FL31" s="286"/>
      <c r="FM31" s="286"/>
      <c r="FN31" s="207"/>
      <c r="FO31" s="207"/>
      <c r="FP31" s="286"/>
      <c r="FQ31" s="286"/>
      <c r="FR31" s="286"/>
      <c r="FS31" s="286"/>
      <c r="FT31" s="286"/>
      <c r="FU31" s="286"/>
      <c r="FV31" s="286"/>
      <c r="FW31" s="286"/>
      <c r="FX31" s="286"/>
      <c r="FY31" s="286"/>
      <c r="FZ31" s="286"/>
      <c r="GA31" s="207"/>
      <c r="GB31" s="207"/>
      <c r="GC31" s="286"/>
      <c r="GD31" s="286"/>
      <c r="GE31" s="286"/>
      <c r="GF31" s="286"/>
      <c r="GG31" s="286"/>
      <c r="GH31" s="286"/>
      <c r="GI31" s="286"/>
      <c r="GJ31" s="286"/>
      <c r="GK31" s="286"/>
      <c r="GL31" s="286"/>
      <c r="GM31" s="286"/>
      <c r="GN31" s="207"/>
      <c r="GO31" s="207"/>
      <c r="GP31" s="286"/>
      <c r="GQ31" s="286"/>
      <c r="GR31" s="286"/>
      <c r="GS31" s="286"/>
      <c r="GT31" s="286"/>
      <c r="GU31" s="286"/>
      <c r="GV31" s="286"/>
      <c r="GW31" s="286"/>
      <c r="GX31" s="286"/>
      <c r="GY31" s="286"/>
      <c r="GZ31" s="286"/>
      <c r="HA31" s="207"/>
      <c r="HB31" s="207"/>
      <c r="HC31" s="286"/>
      <c r="HD31" s="286"/>
      <c r="HE31" s="286"/>
      <c r="HF31" s="286"/>
      <c r="HG31" s="286"/>
      <c r="HH31" s="286"/>
      <c r="HI31" s="286"/>
      <c r="HJ31" s="286"/>
      <c r="HK31" s="286"/>
      <c r="HL31" s="286"/>
      <c r="HM31" s="286"/>
      <c r="HN31" s="207"/>
      <c r="HO31" s="207"/>
      <c r="HP31" s="286"/>
      <c r="HQ31" s="286"/>
      <c r="HR31" s="286"/>
      <c r="HS31" s="286"/>
      <c r="HT31" s="286"/>
      <c r="HU31" s="286"/>
      <c r="HV31" s="286"/>
      <c r="HW31" s="286"/>
      <c r="HX31" s="286"/>
      <c r="HY31" s="286"/>
      <c r="HZ31" s="286"/>
      <c r="IA31" s="207"/>
      <c r="IB31" s="207"/>
      <c r="IC31" s="286"/>
      <c r="ID31" s="286"/>
      <c r="IE31" s="286"/>
      <c r="IF31" s="286"/>
      <c r="IG31" s="286"/>
      <c r="IH31" s="286"/>
      <c r="II31" s="286"/>
      <c r="IJ31" s="286"/>
      <c r="IK31" s="286"/>
      <c r="IL31" s="286"/>
      <c r="IM31" s="286"/>
      <c r="IN31" s="207"/>
      <c r="IO31" s="207"/>
      <c r="IP31" s="286"/>
      <c r="IQ31" s="286"/>
      <c r="IR31" s="286"/>
      <c r="IS31" s="286"/>
      <c r="IT31" s="286"/>
      <c r="IU31" s="286"/>
      <c r="IV31" s="286"/>
    </row>
    <row r="32" spans="1:256" x14ac:dyDescent="0.2">
      <c r="A32" s="218"/>
      <c r="B32" s="219"/>
      <c r="C32" s="288"/>
      <c r="D32" s="288"/>
      <c r="E32" s="288"/>
      <c r="F32" s="288"/>
      <c r="G32" s="288"/>
      <c r="H32" s="288"/>
      <c r="I32" s="288"/>
      <c r="J32" s="288"/>
      <c r="K32" s="288"/>
      <c r="L32" s="288"/>
      <c r="M32" s="289"/>
      <c r="N32" s="223"/>
      <c r="O32" s="223"/>
      <c r="P32" s="298"/>
      <c r="Q32" s="298"/>
      <c r="R32" s="298"/>
      <c r="S32" s="298"/>
      <c r="T32" s="298"/>
      <c r="U32" s="298"/>
      <c r="V32" s="298"/>
      <c r="W32" s="298"/>
      <c r="X32" s="298"/>
      <c r="Y32" s="298"/>
      <c r="Z32" s="299"/>
      <c r="AA32" s="218"/>
      <c r="AB32" s="219"/>
      <c r="AC32" s="288"/>
      <c r="AD32" s="288"/>
      <c r="AE32" s="288"/>
      <c r="AF32" s="288"/>
      <c r="AG32" s="288"/>
      <c r="AH32" s="288"/>
      <c r="AI32" s="288"/>
      <c r="AJ32" s="288"/>
      <c r="AK32" s="288"/>
      <c r="AL32" s="288"/>
      <c r="AM32" s="289"/>
      <c r="AN32" s="218"/>
      <c r="AO32" s="219"/>
      <c r="AP32" s="288"/>
      <c r="AQ32" s="288"/>
      <c r="AR32" s="288"/>
      <c r="AS32" s="288"/>
      <c r="AT32" s="288"/>
      <c r="AU32" s="288"/>
      <c r="AV32" s="288"/>
      <c r="AW32" s="288"/>
      <c r="AX32" s="288"/>
      <c r="AY32" s="288"/>
      <c r="AZ32" s="289"/>
      <c r="BA32" s="218"/>
      <c r="BB32" s="219"/>
      <c r="BC32" s="288"/>
      <c r="BD32" s="288"/>
      <c r="BE32" s="288"/>
      <c r="BF32" s="288"/>
      <c r="BG32" s="288"/>
      <c r="BH32" s="288"/>
      <c r="BI32" s="288"/>
      <c r="BJ32" s="288"/>
      <c r="BK32" s="288"/>
      <c r="BL32" s="288"/>
      <c r="BM32" s="289"/>
      <c r="BN32" s="218"/>
      <c r="BO32" s="219"/>
      <c r="BP32" s="288"/>
      <c r="BQ32" s="288"/>
      <c r="BR32" s="288"/>
      <c r="BS32" s="288"/>
      <c r="BT32" s="288"/>
      <c r="BU32" s="288"/>
      <c r="BV32" s="288"/>
      <c r="BW32" s="288"/>
      <c r="BX32" s="288"/>
      <c r="BY32" s="288"/>
      <c r="BZ32" s="289"/>
      <c r="CA32" s="218"/>
      <c r="CB32" s="219"/>
      <c r="CC32" s="288"/>
      <c r="CD32" s="288"/>
      <c r="CE32" s="288"/>
      <c r="CF32" s="288"/>
      <c r="CG32" s="288"/>
      <c r="CH32" s="288"/>
      <c r="CI32" s="288"/>
      <c r="CJ32" s="288"/>
      <c r="CK32" s="288"/>
      <c r="CL32" s="288"/>
      <c r="CM32" s="289"/>
      <c r="CN32" s="218"/>
      <c r="CO32" s="219"/>
      <c r="CP32" s="288"/>
      <c r="CQ32" s="288"/>
      <c r="CR32" s="288"/>
      <c r="CS32" s="288"/>
      <c r="CT32" s="288"/>
      <c r="CU32" s="288"/>
      <c r="CV32" s="288"/>
      <c r="CW32" s="288"/>
      <c r="CX32" s="288"/>
      <c r="CY32" s="288"/>
      <c r="CZ32" s="289"/>
      <c r="DA32" s="218"/>
      <c r="DB32" s="219"/>
      <c r="DC32" s="288"/>
      <c r="DD32" s="288"/>
      <c r="DE32" s="288"/>
      <c r="DF32" s="288"/>
      <c r="DG32" s="288"/>
      <c r="DH32" s="288"/>
      <c r="DI32" s="288"/>
      <c r="DJ32" s="288"/>
      <c r="DK32" s="288"/>
      <c r="DL32" s="288"/>
      <c r="DM32" s="289"/>
      <c r="DN32" s="218"/>
      <c r="DO32" s="219"/>
      <c r="DP32" s="288"/>
      <c r="DQ32" s="288"/>
      <c r="DR32" s="288"/>
      <c r="DS32" s="288"/>
      <c r="DT32" s="288"/>
      <c r="DU32" s="288"/>
      <c r="DV32" s="288"/>
      <c r="DW32" s="288"/>
      <c r="DX32" s="288"/>
      <c r="DY32" s="288"/>
      <c r="DZ32" s="289"/>
      <c r="EA32" s="218"/>
      <c r="EB32" s="219"/>
      <c r="EC32" s="288"/>
      <c r="ED32" s="288"/>
      <c r="EE32" s="288"/>
      <c r="EF32" s="288"/>
      <c r="EG32" s="288"/>
      <c r="EH32" s="288"/>
      <c r="EI32" s="288"/>
      <c r="EJ32" s="288"/>
      <c r="EK32" s="288"/>
      <c r="EL32" s="288"/>
      <c r="EM32" s="289"/>
      <c r="EN32" s="218"/>
      <c r="EO32" s="219"/>
      <c r="EP32" s="288"/>
      <c r="EQ32" s="288"/>
      <c r="ER32" s="288"/>
      <c r="ES32" s="288"/>
      <c r="ET32" s="288"/>
      <c r="EU32" s="288"/>
      <c r="EV32" s="288"/>
      <c r="EW32" s="288"/>
      <c r="EX32" s="288"/>
      <c r="EY32" s="288"/>
      <c r="EZ32" s="289"/>
      <c r="FA32" s="218"/>
      <c r="FB32" s="219"/>
      <c r="FC32" s="288"/>
      <c r="FD32" s="288"/>
      <c r="FE32" s="288"/>
      <c r="FF32" s="288"/>
      <c r="FG32" s="288"/>
      <c r="FH32" s="288"/>
      <c r="FI32" s="288"/>
      <c r="FJ32" s="288"/>
      <c r="FK32" s="288"/>
      <c r="FL32" s="288"/>
      <c r="FM32" s="289"/>
      <c r="FN32" s="218"/>
      <c r="FO32" s="219"/>
      <c r="FP32" s="288"/>
      <c r="FQ32" s="288"/>
      <c r="FR32" s="288"/>
      <c r="FS32" s="288"/>
      <c r="FT32" s="288"/>
      <c r="FU32" s="288"/>
      <c r="FV32" s="288"/>
      <c r="FW32" s="288"/>
      <c r="FX32" s="288"/>
      <c r="FY32" s="288"/>
      <c r="FZ32" s="289"/>
      <c r="GA32" s="218"/>
      <c r="GB32" s="219"/>
      <c r="GC32" s="288"/>
      <c r="GD32" s="288"/>
      <c r="GE32" s="288"/>
      <c r="GF32" s="288"/>
      <c r="GG32" s="288"/>
      <c r="GH32" s="288"/>
      <c r="GI32" s="288"/>
      <c r="GJ32" s="288"/>
      <c r="GK32" s="288"/>
      <c r="GL32" s="288"/>
      <c r="GM32" s="289"/>
      <c r="GN32" s="218"/>
      <c r="GO32" s="219"/>
      <c r="GP32" s="288"/>
      <c r="GQ32" s="288"/>
      <c r="GR32" s="288"/>
      <c r="GS32" s="288"/>
      <c r="GT32" s="288"/>
      <c r="GU32" s="288"/>
      <c r="GV32" s="288"/>
      <c r="GW32" s="288"/>
      <c r="GX32" s="288"/>
      <c r="GY32" s="288"/>
      <c r="GZ32" s="289"/>
      <c r="HA32" s="218"/>
      <c r="HB32" s="219"/>
      <c r="HC32" s="288"/>
      <c r="HD32" s="288"/>
      <c r="HE32" s="288"/>
      <c r="HF32" s="288"/>
      <c r="HG32" s="288"/>
      <c r="HH32" s="288"/>
      <c r="HI32" s="288"/>
      <c r="HJ32" s="288"/>
      <c r="HK32" s="288"/>
      <c r="HL32" s="288"/>
      <c r="HM32" s="289"/>
      <c r="HN32" s="218"/>
      <c r="HO32" s="219"/>
      <c r="HP32" s="288"/>
      <c r="HQ32" s="288"/>
      <c r="HR32" s="288"/>
      <c r="HS32" s="288"/>
      <c r="HT32" s="288"/>
      <c r="HU32" s="288"/>
      <c r="HV32" s="288"/>
      <c r="HW32" s="288"/>
      <c r="HX32" s="288"/>
      <c r="HY32" s="288"/>
      <c r="HZ32" s="289"/>
      <c r="IA32" s="218"/>
      <c r="IB32" s="219"/>
      <c r="IC32" s="288"/>
      <c r="ID32" s="288"/>
      <c r="IE32" s="288"/>
      <c r="IF32" s="288"/>
      <c r="IG32" s="288"/>
      <c r="IH32" s="288"/>
      <c r="II32" s="288"/>
      <c r="IJ32" s="288"/>
      <c r="IK32" s="288"/>
      <c r="IL32" s="288"/>
      <c r="IM32" s="289"/>
      <c r="IN32" s="218"/>
      <c r="IO32" s="219"/>
      <c r="IP32" s="288"/>
      <c r="IQ32" s="288"/>
      <c r="IR32" s="288"/>
      <c r="IS32" s="288"/>
      <c r="IT32" s="288"/>
      <c r="IU32" s="288"/>
      <c r="IV32" s="288"/>
    </row>
    <row r="33" spans="1:256" x14ac:dyDescent="0.2">
      <c r="A33" s="218"/>
      <c r="B33" s="219"/>
      <c r="C33" s="288"/>
      <c r="D33" s="288"/>
      <c r="E33" s="288"/>
      <c r="F33" s="288"/>
      <c r="G33" s="288"/>
      <c r="H33" s="288"/>
      <c r="I33" s="288"/>
      <c r="J33" s="288"/>
      <c r="K33" s="288"/>
      <c r="L33" s="288"/>
      <c r="M33" s="289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8"/>
      <c r="D34" s="288"/>
      <c r="E34" s="288"/>
      <c r="F34" s="288"/>
      <c r="G34" s="288"/>
      <c r="H34" s="288"/>
      <c r="I34" s="288"/>
      <c r="J34" s="288"/>
      <c r="K34" s="288"/>
      <c r="L34" s="288"/>
      <c r="M34" s="289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8"/>
      <c r="D35" s="288"/>
      <c r="E35" s="288"/>
      <c r="F35" s="288"/>
      <c r="G35" s="288"/>
      <c r="H35" s="288"/>
      <c r="I35" s="288"/>
      <c r="J35" s="288"/>
      <c r="K35" s="288"/>
      <c r="L35" s="288"/>
      <c r="M35" s="289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8"/>
      <c r="D36" s="288"/>
      <c r="E36" s="288"/>
      <c r="F36" s="288"/>
      <c r="G36" s="288"/>
      <c r="H36" s="288"/>
      <c r="I36" s="288"/>
      <c r="J36" s="288"/>
      <c r="K36" s="288"/>
      <c r="L36" s="288"/>
      <c r="M36" s="289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8"/>
      <c r="D37" s="288"/>
      <c r="E37" s="288"/>
      <c r="F37" s="288"/>
      <c r="G37" s="288"/>
      <c r="H37" s="288"/>
      <c r="I37" s="288"/>
      <c r="J37" s="288"/>
      <c r="K37" s="288"/>
      <c r="L37" s="288"/>
      <c r="M37" s="289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8"/>
      <c r="D38" s="288"/>
      <c r="E38" s="288"/>
      <c r="F38" s="288"/>
      <c r="G38" s="288"/>
      <c r="H38" s="288"/>
      <c r="I38" s="288"/>
      <c r="J38" s="288"/>
      <c r="K38" s="288"/>
      <c r="L38" s="288"/>
      <c r="M38" s="289"/>
      <c r="N38" s="211"/>
      <c r="O38" s="211"/>
      <c r="P38" s="287"/>
      <c r="Q38" s="287"/>
      <c r="R38" s="287"/>
      <c r="S38" s="287"/>
      <c r="T38" s="287"/>
      <c r="U38" s="287"/>
      <c r="V38" s="287"/>
      <c r="W38" s="287"/>
      <c r="X38" s="287"/>
      <c r="Y38" s="287"/>
      <c r="Z38" s="287"/>
      <c r="AA38" s="207"/>
      <c r="AB38" s="207"/>
      <c r="AC38" s="286"/>
      <c r="AD38" s="286"/>
      <c r="AE38" s="286"/>
      <c r="AF38" s="286"/>
      <c r="AG38" s="286"/>
      <c r="AH38" s="286"/>
      <c r="AI38" s="286"/>
      <c r="AJ38" s="286"/>
      <c r="AK38" s="286"/>
      <c r="AL38" s="286"/>
      <c r="AM38" s="286"/>
      <c r="AN38" s="207"/>
      <c r="AO38" s="207"/>
      <c r="AP38" s="286"/>
      <c r="AQ38" s="286"/>
      <c r="AR38" s="286"/>
      <c r="AS38" s="286"/>
      <c r="AT38" s="286"/>
      <c r="AU38" s="286"/>
      <c r="AV38" s="286"/>
      <c r="AW38" s="286"/>
      <c r="AX38" s="286"/>
      <c r="AY38" s="286"/>
      <c r="AZ38" s="286"/>
      <c r="BA38" s="207"/>
      <c r="BB38" s="207"/>
      <c r="BC38" s="286"/>
      <c r="BD38" s="286"/>
      <c r="BE38" s="286"/>
      <c r="BF38" s="286"/>
      <c r="BG38" s="286"/>
      <c r="BH38" s="286"/>
      <c r="BI38" s="286"/>
      <c r="BJ38" s="286"/>
      <c r="BK38" s="286"/>
      <c r="BL38" s="286"/>
      <c r="BM38" s="286"/>
      <c r="BN38" s="207"/>
      <c r="BO38" s="207"/>
      <c r="BP38" s="286"/>
      <c r="BQ38" s="286"/>
      <c r="BR38" s="286"/>
      <c r="BS38" s="286"/>
      <c r="BT38" s="286"/>
      <c r="BU38" s="286"/>
      <c r="BV38" s="286"/>
      <c r="BW38" s="286"/>
      <c r="BX38" s="286"/>
      <c r="BY38" s="286"/>
      <c r="BZ38" s="286"/>
      <c r="CA38" s="207"/>
      <c r="CB38" s="207"/>
      <c r="CC38" s="286"/>
      <c r="CD38" s="286"/>
      <c r="CE38" s="286"/>
      <c r="CF38" s="286"/>
      <c r="CG38" s="286"/>
      <c r="CH38" s="286"/>
      <c r="CI38" s="286"/>
      <c r="CJ38" s="286"/>
      <c r="CK38" s="286"/>
      <c r="CL38" s="286"/>
      <c r="CM38" s="286"/>
      <c r="CN38" s="207"/>
      <c r="CO38" s="207"/>
      <c r="CP38" s="286"/>
      <c r="CQ38" s="286"/>
      <c r="CR38" s="286"/>
      <c r="CS38" s="286"/>
      <c r="CT38" s="286"/>
      <c r="CU38" s="286"/>
      <c r="CV38" s="286"/>
      <c r="CW38" s="286"/>
      <c r="CX38" s="286"/>
      <c r="CY38" s="286"/>
      <c r="CZ38" s="286"/>
      <c r="DA38" s="207"/>
      <c r="DB38" s="207"/>
      <c r="DC38" s="286"/>
      <c r="DD38" s="286"/>
      <c r="DE38" s="286"/>
      <c r="DF38" s="286"/>
      <c r="DG38" s="286"/>
      <c r="DH38" s="286"/>
      <c r="DI38" s="286"/>
      <c r="DJ38" s="286"/>
      <c r="DK38" s="286"/>
      <c r="DL38" s="286"/>
      <c r="DM38" s="286"/>
      <c r="DN38" s="207"/>
      <c r="DO38" s="207"/>
      <c r="DP38" s="286"/>
      <c r="DQ38" s="286"/>
      <c r="DR38" s="286"/>
      <c r="DS38" s="286"/>
      <c r="DT38" s="286"/>
      <c r="DU38" s="286"/>
      <c r="DV38" s="286"/>
      <c r="DW38" s="286"/>
      <c r="DX38" s="286"/>
      <c r="DY38" s="286"/>
      <c r="DZ38" s="286"/>
      <c r="EA38" s="207"/>
      <c r="EB38" s="207"/>
      <c r="EC38" s="286"/>
      <c r="ED38" s="286"/>
      <c r="EE38" s="286"/>
      <c r="EF38" s="286"/>
      <c r="EG38" s="286"/>
      <c r="EH38" s="286"/>
      <c r="EI38" s="286"/>
      <c r="EJ38" s="286"/>
      <c r="EK38" s="286"/>
      <c r="EL38" s="286"/>
      <c r="EM38" s="286"/>
      <c r="EN38" s="207"/>
      <c r="EO38" s="207"/>
      <c r="EP38" s="286"/>
      <c r="EQ38" s="286"/>
      <c r="ER38" s="286"/>
      <c r="ES38" s="286"/>
      <c r="ET38" s="286"/>
      <c r="EU38" s="286"/>
      <c r="EV38" s="286"/>
      <c r="EW38" s="286"/>
      <c r="EX38" s="286"/>
      <c r="EY38" s="286"/>
      <c r="EZ38" s="286"/>
      <c r="FA38" s="207"/>
      <c r="FB38" s="207"/>
      <c r="FC38" s="286"/>
      <c r="FD38" s="286"/>
      <c r="FE38" s="286"/>
      <c r="FF38" s="286"/>
      <c r="FG38" s="286"/>
      <c r="FH38" s="286"/>
      <c r="FI38" s="286"/>
      <c r="FJ38" s="286"/>
      <c r="FK38" s="286"/>
      <c r="FL38" s="286"/>
      <c r="FM38" s="286"/>
      <c r="FN38" s="207"/>
      <c r="FO38" s="207"/>
      <c r="FP38" s="286"/>
      <c r="FQ38" s="286"/>
      <c r="FR38" s="286"/>
      <c r="FS38" s="286"/>
      <c r="FT38" s="286"/>
      <c r="FU38" s="286"/>
      <c r="FV38" s="286"/>
      <c r="FW38" s="286"/>
      <c r="FX38" s="286"/>
      <c r="FY38" s="286"/>
      <c r="FZ38" s="286"/>
      <c r="GA38" s="207"/>
      <c r="GB38" s="207"/>
      <c r="GC38" s="286"/>
      <c r="GD38" s="286"/>
      <c r="GE38" s="286"/>
      <c r="GF38" s="286"/>
      <c r="GG38" s="286"/>
      <c r="GH38" s="286"/>
      <c r="GI38" s="286"/>
      <c r="GJ38" s="286"/>
      <c r="GK38" s="286"/>
      <c r="GL38" s="286"/>
      <c r="GM38" s="286"/>
      <c r="GN38" s="207"/>
      <c r="GO38" s="207"/>
      <c r="GP38" s="286"/>
      <c r="GQ38" s="286"/>
      <c r="GR38" s="286"/>
      <c r="GS38" s="286"/>
      <c r="GT38" s="286"/>
      <c r="GU38" s="286"/>
      <c r="GV38" s="286"/>
      <c r="GW38" s="286"/>
      <c r="GX38" s="286"/>
      <c r="GY38" s="286"/>
      <c r="GZ38" s="286"/>
      <c r="HA38" s="207"/>
      <c r="HB38" s="207"/>
      <c r="HC38" s="286"/>
      <c r="HD38" s="286"/>
      <c r="HE38" s="286"/>
      <c r="HF38" s="286"/>
      <c r="HG38" s="286"/>
      <c r="HH38" s="286"/>
      <c r="HI38" s="286"/>
      <c r="HJ38" s="286"/>
      <c r="HK38" s="286"/>
      <c r="HL38" s="286"/>
      <c r="HM38" s="286"/>
      <c r="HN38" s="207"/>
      <c r="HO38" s="207"/>
      <c r="HP38" s="286"/>
      <c r="HQ38" s="286"/>
      <c r="HR38" s="286"/>
      <c r="HS38" s="286"/>
      <c r="HT38" s="286"/>
      <c r="HU38" s="286"/>
      <c r="HV38" s="286"/>
      <c r="HW38" s="286"/>
      <c r="HX38" s="286"/>
      <c r="HY38" s="286"/>
      <c r="HZ38" s="286"/>
      <c r="IA38" s="207"/>
      <c r="IB38" s="207"/>
      <c r="IC38" s="286"/>
      <c r="ID38" s="286"/>
      <c r="IE38" s="286"/>
      <c r="IF38" s="286"/>
      <c r="IG38" s="286"/>
      <c r="IH38" s="286"/>
      <c r="II38" s="286"/>
      <c r="IJ38" s="286"/>
      <c r="IK38" s="286"/>
      <c r="IL38" s="286"/>
      <c r="IM38" s="286"/>
      <c r="IN38" s="207"/>
      <c r="IO38" s="207"/>
      <c r="IP38" s="286"/>
      <c r="IQ38" s="286"/>
      <c r="IR38" s="286"/>
      <c r="IS38" s="286"/>
      <c r="IT38" s="286"/>
      <c r="IU38" s="286"/>
      <c r="IV38" s="286"/>
    </row>
    <row r="39" spans="1:256" x14ac:dyDescent="0.2">
      <c r="A39" s="218"/>
      <c r="B39" s="219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9"/>
      <c r="N39" s="211"/>
      <c r="O39" s="211"/>
      <c r="P39" s="287"/>
      <c r="Q39" s="287"/>
      <c r="R39" s="287"/>
      <c r="S39" s="287"/>
      <c r="T39" s="287"/>
      <c r="U39" s="287"/>
      <c r="V39" s="287"/>
      <c r="W39" s="287"/>
      <c r="X39" s="287"/>
      <c r="Y39" s="287"/>
      <c r="Z39" s="287"/>
      <c r="AA39" s="207"/>
      <c r="AB39" s="207"/>
      <c r="AC39" s="286"/>
      <c r="AD39" s="286"/>
      <c r="AE39" s="286"/>
      <c r="AF39" s="286"/>
      <c r="AG39" s="286"/>
      <c r="AH39" s="286"/>
      <c r="AI39" s="286"/>
      <c r="AJ39" s="286"/>
      <c r="AK39" s="286"/>
      <c r="AL39" s="286"/>
      <c r="AM39" s="286"/>
      <c r="AN39" s="207"/>
      <c r="AO39" s="207"/>
      <c r="AP39" s="286"/>
      <c r="AQ39" s="286"/>
      <c r="AR39" s="286"/>
      <c r="AS39" s="286"/>
      <c r="AT39" s="286"/>
      <c r="AU39" s="286"/>
      <c r="AV39" s="286"/>
      <c r="AW39" s="286"/>
      <c r="AX39" s="286"/>
      <c r="AY39" s="286"/>
      <c r="AZ39" s="286"/>
      <c r="BA39" s="207"/>
      <c r="BB39" s="207"/>
      <c r="BC39" s="286"/>
      <c r="BD39" s="286"/>
      <c r="BE39" s="286"/>
      <c r="BF39" s="286"/>
      <c r="BG39" s="286"/>
      <c r="BH39" s="286"/>
      <c r="BI39" s="286"/>
      <c r="BJ39" s="286"/>
      <c r="BK39" s="286"/>
      <c r="BL39" s="286"/>
      <c r="BM39" s="286"/>
      <c r="BN39" s="207"/>
      <c r="BO39" s="207"/>
      <c r="BP39" s="286"/>
      <c r="BQ39" s="286"/>
      <c r="BR39" s="286"/>
      <c r="BS39" s="286"/>
      <c r="BT39" s="286"/>
      <c r="BU39" s="286"/>
      <c r="BV39" s="286"/>
      <c r="BW39" s="286"/>
      <c r="BX39" s="286"/>
      <c r="BY39" s="286"/>
      <c r="BZ39" s="286"/>
      <c r="CA39" s="207"/>
      <c r="CB39" s="207"/>
      <c r="CC39" s="286"/>
      <c r="CD39" s="286"/>
      <c r="CE39" s="286"/>
      <c r="CF39" s="286"/>
      <c r="CG39" s="286"/>
      <c r="CH39" s="286"/>
      <c r="CI39" s="286"/>
      <c r="CJ39" s="286"/>
      <c r="CK39" s="286"/>
      <c r="CL39" s="286"/>
      <c r="CM39" s="286"/>
      <c r="CN39" s="207"/>
      <c r="CO39" s="207"/>
      <c r="CP39" s="286"/>
      <c r="CQ39" s="286"/>
      <c r="CR39" s="286"/>
      <c r="CS39" s="286"/>
      <c r="CT39" s="286"/>
      <c r="CU39" s="286"/>
      <c r="CV39" s="286"/>
      <c r="CW39" s="286"/>
      <c r="CX39" s="286"/>
      <c r="CY39" s="286"/>
      <c r="CZ39" s="286"/>
      <c r="DA39" s="207"/>
      <c r="DB39" s="207"/>
      <c r="DC39" s="286"/>
      <c r="DD39" s="286"/>
      <c r="DE39" s="286"/>
      <c r="DF39" s="286"/>
      <c r="DG39" s="286"/>
      <c r="DH39" s="286"/>
      <c r="DI39" s="286"/>
      <c r="DJ39" s="286"/>
      <c r="DK39" s="286"/>
      <c r="DL39" s="286"/>
      <c r="DM39" s="286"/>
      <c r="DN39" s="207"/>
      <c r="DO39" s="207"/>
      <c r="DP39" s="286"/>
      <c r="DQ39" s="286"/>
      <c r="DR39" s="286"/>
      <c r="DS39" s="286"/>
      <c r="DT39" s="286"/>
      <c r="DU39" s="286"/>
      <c r="DV39" s="286"/>
      <c r="DW39" s="286"/>
      <c r="DX39" s="286"/>
      <c r="DY39" s="286"/>
      <c r="DZ39" s="286"/>
      <c r="EA39" s="207"/>
      <c r="EB39" s="207"/>
      <c r="EC39" s="286"/>
      <c r="ED39" s="286"/>
      <c r="EE39" s="286"/>
      <c r="EF39" s="286"/>
      <c r="EG39" s="286"/>
      <c r="EH39" s="286"/>
      <c r="EI39" s="286"/>
      <c r="EJ39" s="286"/>
      <c r="EK39" s="286"/>
      <c r="EL39" s="286"/>
      <c r="EM39" s="286"/>
      <c r="EN39" s="207"/>
      <c r="EO39" s="207"/>
      <c r="EP39" s="286"/>
      <c r="EQ39" s="286"/>
      <c r="ER39" s="286"/>
      <c r="ES39" s="286"/>
      <c r="ET39" s="286"/>
      <c r="EU39" s="286"/>
      <c r="EV39" s="286"/>
      <c r="EW39" s="286"/>
      <c r="EX39" s="286"/>
      <c r="EY39" s="286"/>
      <c r="EZ39" s="286"/>
      <c r="FA39" s="207"/>
      <c r="FB39" s="207"/>
      <c r="FC39" s="286"/>
      <c r="FD39" s="286"/>
      <c r="FE39" s="286"/>
      <c r="FF39" s="286"/>
      <c r="FG39" s="286"/>
      <c r="FH39" s="286"/>
      <c r="FI39" s="286"/>
      <c r="FJ39" s="286"/>
      <c r="FK39" s="286"/>
      <c r="FL39" s="286"/>
      <c r="FM39" s="286"/>
      <c r="FN39" s="207"/>
      <c r="FO39" s="207"/>
      <c r="FP39" s="286"/>
      <c r="FQ39" s="286"/>
      <c r="FR39" s="286"/>
      <c r="FS39" s="286"/>
      <c r="FT39" s="286"/>
      <c r="FU39" s="286"/>
      <c r="FV39" s="286"/>
      <c r="FW39" s="286"/>
      <c r="FX39" s="286"/>
      <c r="FY39" s="286"/>
      <c r="FZ39" s="286"/>
      <c r="GA39" s="207"/>
      <c r="GB39" s="207"/>
      <c r="GC39" s="286"/>
      <c r="GD39" s="286"/>
      <c r="GE39" s="286"/>
      <c r="GF39" s="286"/>
      <c r="GG39" s="286"/>
      <c r="GH39" s="286"/>
      <c r="GI39" s="286"/>
      <c r="GJ39" s="286"/>
      <c r="GK39" s="286"/>
      <c r="GL39" s="286"/>
      <c r="GM39" s="286"/>
      <c r="GN39" s="207"/>
      <c r="GO39" s="207"/>
      <c r="GP39" s="286"/>
      <c r="GQ39" s="286"/>
      <c r="GR39" s="286"/>
      <c r="GS39" s="286"/>
      <c r="GT39" s="286"/>
      <c r="GU39" s="286"/>
      <c r="GV39" s="286"/>
      <c r="GW39" s="286"/>
      <c r="GX39" s="286"/>
      <c r="GY39" s="286"/>
      <c r="GZ39" s="286"/>
      <c r="HA39" s="207"/>
      <c r="HB39" s="207"/>
      <c r="HC39" s="286"/>
      <c r="HD39" s="286"/>
      <c r="HE39" s="286"/>
      <c r="HF39" s="286"/>
      <c r="HG39" s="286"/>
      <c r="HH39" s="286"/>
      <c r="HI39" s="286"/>
      <c r="HJ39" s="286"/>
      <c r="HK39" s="286"/>
      <c r="HL39" s="286"/>
      <c r="HM39" s="286"/>
      <c r="HN39" s="207"/>
      <c r="HO39" s="207"/>
      <c r="HP39" s="286"/>
      <c r="HQ39" s="286"/>
      <c r="HR39" s="286"/>
      <c r="HS39" s="286"/>
      <c r="HT39" s="286"/>
      <c r="HU39" s="286"/>
      <c r="HV39" s="286"/>
      <c r="HW39" s="286"/>
      <c r="HX39" s="286"/>
      <c r="HY39" s="286"/>
      <c r="HZ39" s="286"/>
      <c r="IA39" s="207"/>
      <c r="IB39" s="207"/>
      <c r="IC39" s="286"/>
      <c r="ID39" s="286"/>
      <c r="IE39" s="286"/>
      <c r="IF39" s="286"/>
      <c r="IG39" s="286"/>
      <c r="IH39" s="286"/>
      <c r="II39" s="286"/>
      <c r="IJ39" s="286"/>
      <c r="IK39" s="286"/>
      <c r="IL39" s="286"/>
      <c r="IM39" s="286"/>
      <c r="IN39" s="207"/>
      <c r="IO39" s="207"/>
      <c r="IP39" s="286"/>
      <c r="IQ39" s="286"/>
      <c r="IR39" s="286"/>
      <c r="IS39" s="286"/>
      <c r="IT39" s="286"/>
      <c r="IU39" s="286"/>
      <c r="IV39" s="286"/>
    </row>
    <row r="40" spans="1:256" x14ac:dyDescent="0.2">
      <c r="A40" s="218"/>
      <c r="B40" s="219"/>
      <c r="C40" s="288"/>
      <c r="D40" s="288"/>
      <c r="E40" s="288"/>
      <c r="F40" s="288"/>
      <c r="G40" s="288"/>
      <c r="H40" s="288"/>
      <c r="I40" s="288"/>
      <c r="J40" s="288"/>
      <c r="K40" s="288"/>
      <c r="L40" s="288"/>
      <c r="M40" s="289"/>
      <c r="N40" s="211"/>
      <c r="O40" s="211"/>
      <c r="P40" s="287"/>
      <c r="Q40" s="287"/>
      <c r="R40" s="287"/>
      <c r="S40" s="287"/>
      <c r="T40" s="287"/>
      <c r="U40" s="287"/>
      <c r="V40" s="287"/>
      <c r="W40" s="287"/>
      <c r="X40" s="287"/>
      <c r="Y40" s="287"/>
      <c r="Z40" s="287"/>
      <c r="AA40" s="207"/>
      <c r="AB40" s="207"/>
      <c r="AC40" s="286"/>
      <c r="AD40" s="286"/>
      <c r="AE40" s="286"/>
      <c r="AF40" s="286"/>
      <c r="AG40" s="286"/>
      <c r="AH40" s="286"/>
      <c r="AI40" s="286"/>
      <c r="AJ40" s="286"/>
      <c r="AK40" s="286"/>
      <c r="AL40" s="286"/>
      <c r="AM40" s="286"/>
      <c r="AN40" s="207"/>
      <c r="AO40" s="207"/>
      <c r="AP40" s="286"/>
      <c r="AQ40" s="286"/>
      <c r="AR40" s="286"/>
      <c r="AS40" s="286"/>
      <c r="AT40" s="286"/>
      <c r="AU40" s="286"/>
      <c r="AV40" s="286"/>
      <c r="AW40" s="286"/>
      <c r="AX40" s="286"/>
      <c r="AY40" s="286"/>
      <c r="AZ40" s="286"/>
      <c r="BA40" s="207"/>
      <c r="BB40" s="207"/>
      <c r="BC40" s="286"/>
      <c r="BD40" s="286"/>
      <c r="BE40" s="286"/>
      <c r="BF40" s="286"/>
      <c r="BG40" s="286"/>
      <c r="BH40" s="286"/>
      <c r="BI40" s="286"/>
      <c r="BJ40" s="286"/>
      <c r="BK40" s="286"/>
      <c r="BL40" s="286"/>
      <c r="BM40" s="286"/>
      <c r="BN40" s="207"/>
      <c r="BO40" s="207"/>
      <c r="BP40" s="286"/>
      <c r="BQ40" s="286"/>
      <c r="BR40" s="286"/>
      <c r="BS40" s="286"/>
      <c r="BT40" s="286"/>
      <c r="BU40" s="286"/>
      <c r="BV40" s="286"/>
      <c r="BW40" s="286"/>
      <c r="BX40" s="286"/>
      <c r="BY40" s="286"/>
      <c r="BZ40" s="286"/>
      <c r="CA40" s="207"/>
      <c r="CB40" s="207"/>
      <c r="CC40" s="286"/>
      <c r="CD40" s="286"/>
      <c r="CE40" s="286"/>
      <c r="CF40" s="286"/>
      <c r="CG40" s="286"/>
      <c r="CH40" s="286"/>
      <c r="CI40" s="286"/>
      <c r="CJ40" s="286"/>
      <c r="CK40" s="286"/>
      <c r="CL40" s="286"/>
      <c r="CM40" s="286"/>
      <c r="CN40" s="207"/>
      <c r="CO40" s="207"/>
      <c r="CP40" s="286"/>
      <c r="CQ40" s="286"/>
      <c r="CR40" s="286"/>
      <c r="CS40" s="286"/>
      <c r="CT40" s="286"/>
      <c r="CU40" s="286"/>
      <c r="CV40" s="286"/>
      <c r="CW40" s="286"/>
      <c r="CX40" s="286"/>
      <c r="CY40" s="286"/>
      <c r="CZ40" s="286"/>
      <c r="DA40" s="207"/>
      <c r="DB40" s="207"/>
      <c r="DC40" s="286"/>
      <c r="DD40" s="286"/>
      <c r="DE40" s="286"/>
      <c r="DF40" s="286"/>
      <c r="DG40" s="286"/>
      <c r="DH40" s="286"/>
      <c r="DI40" s="286"/>
      <c r="DJ40" s="286"/>
      <c r="DK40" s="286"/>
      <c r="DL40" s="286"/>
      <c r="DM40" s="286"/>
      <c r="DN40" s="207"/>
      <c r="DO40" s="207"/>
      <c r="DP40" s="286"/>
      <c r="DQ40" s="286"/>
      <c r="DR40" s="286"/>
      <c r="DS40" s="286"/>
      <c r="DT40" s="286"/>
      <c r="DU40" s="286"/>
      <c r="DV40" s="286"/>
      <c r="DW40" s="286"/>
      <c r="DX40" s="286"/>
      <c r="DY40" s="286"/>
      <c r="DZ40" s="286"/>
      <c r="EA40" s="207"/>
      <c r="EB40" s="207"/>
      <c r="EC40" s="286"/>
      <c r="ED40" s="286"/>
      <c r="EE40" s="286"/>
      <c r="EF40" s="286"/>
      <c r="EG40" s="286"/>
      <c r="EH40" s="286"/>
      <c r="EI40" s="286"/>
      <c r="EJ40" s="286"/>
      <c r="EK40" s="286"/>
      <c r="EL40" s="286"/>
      <c r="EM40" s="286"/>
      <c r="EN40" s="207"/>
      <c r="EO40" s="207"/>
      <c r="EP40" s="286"/>
      <c r="EQ40" s="286"/>
      <c r="ER40" s="286"/>
      <c r="ES40" s="286"/>
      <c r="ET40" s="286"/>
      <c r="EU40" s="286"/>
      <c r="EV40" s="286"/>
      <c r="EW40" s="286"/>
      <c r="EX40" s="286"/>
      <c r="EY40" s="286"/>
      <c r="EZ40" s="286"/>
      <c r="FA40" s="207"/>
      <c r="FB40" s="207"/>
      <c r="FC40" s="286"/>
      <c r="FD40" s="286"/>
      <c r="FE40" s="286"/>
      <c r="FF40" s="286"/>
      <c r="FG40" s="286"/>
      <c r="FH40" s="286"/>
      <c r="FI40" s="286"/>
      <c r="FJ40" s="286"/>
      <c r="FK40" s="286"/>
      <c r="FL40" s="286"/>
      <c r="FM40" s="286"/>
      <c r="FN40" s="207"/>
      <c r="FO40" s="207"/>
      <c r="FP40" s="286"/>
      <c r="FQ40" s="286"/>
      <c r="FR40" s="286"/>
      <c r="FS40" s="286"/>
      <c r="FT40" s="286"/>
      <c r="FU40" s="286"/>
      <c r="FV40" s="286"/>
      <c r="FW40" s="286"/>
      <c r="FX40" s="286"/>
      <c r="FY40" s="286"/>
      <c r="FZ40" s="286"/>
      <c r="GA40" s="207"/>
      <c r="GB40" s="207"/>
      <c r="GC40" s="286"/>
      <c r="GD40" s="286"/>
      <c r="GE40" s="286"/>
      <c r="GF40" s="286"/>
      <c r="GG40" s="286"/>
      <c r="GH40" s="286"/>
      <c r="GI40" s="286"/>
      <c r="GJ40" s="286"/>
      <c r="GK40" s="286"/>
      <c r="GL40" s="286"/>
      <c r="GM40" s="286"/>
      <c r="GN40" s="207"/>
      <c r="GO40" s="207"/>
      <c r="GP40" s="286"/>
      <c r="GQ40" s="286"/>
      <c r="GR40" s="286"/>
      <c r="GS40" s="286"/>
      <c r="GT40" s="286"/>
      <c r="GU40" s="286"/>
      <c r="GV40" s="286"/>
      <c r="GW40" s="286"/>
      <c r="GX40" s="286"/>
      <c r="GY40" s="286"/>
      <c r="GZ40" s="286"/>
      <c r="HA40" s="207"/>
      <c r="HB40" s="207"/>
      <c r="HC40" s="286"/>
      <c r="HD40" s="286"/>
      <c r="HE40" s="286"/>
      <c r="HF40" s="286"/>
      <c r="HG40" s="286"/>
      <c r="HH40" s="286"/>
      <c r="HI40" s="286"/>
      <c r="HJ40" s="286"/>
      <c r="HK40" s="286"/>
      <c r="HL40" s="286"/>
      <c r="HM40" s="286"/>
      <c r="HN40" s="207"/>
      <c r="HO40" s="207"/>
      <c r="HP40" s="286"/>
      <c r="HQ40" s="286"/>
      <c r="HR40" s="286"/>
      <c r="HS40" s="286"/>
      <c r="HT40" s="286"/>
      <c r="HU40" s="286"/>
      <c r="HV40" s="286"/>
      <c r="HW40" s="286"/>
      <c r="HX40" s="286"/>
      <c r="HY40" s="286"/>
      <c r="HZ40" s="286"/>
      <c r="IA40" s="207"/>
      <c r="IB40" s="207"/>
      <c r="IC40" s="286"/>
      <c r="ID40" s="286"/>
      <c r="IE40" s="286"/>
      <c r="IF40" s="286"/>
      <c r="IG40" s="286"/>
      <c r="IH40" s="286"/>
      <c r="II40" s="286"/>
      <c r="IJ40" s="286"/>
      <c r="IK40" s="286"/>
      <c r="IL40" s="286"/>
      <c r="IM40" s="286"/>
      <c r="IN40" s="207"/>
      <c r="IO40" s="207"/>
      <c r="IP40" s="286"/>
      <c r="IQ40" s="286"/>
      <c r="IR40" s="286"/>
      <c r="IS40" s="286"/>
      <c r="IT40" s="286"/>
      <c r="IU40" s="286"/>
      <c r="IV40" s="286"/>
    </row>
    <row r="41" spans="1:256" x14ac:dyDescent="0.2">
      <c r="A41" s="218"/>
      <c r="B41" s="219"/>
      <c r="C41" s="288"/>
      <c r="D41" s="288"/>
      <c r="E41" s="288"/>
      <c r="F41" s="288"/>
      <c r="G41" s="288"/>
      <c r="H41" s="288"/>
      <c r="I41" s="288"/>
      <c r="J41" s="288"/>
      <c r="K41" s="288"/>
      <c r="L41" s="288"/>
      <c r="M41" s="289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8"/>
      <c r="D42" s="288"/>
      <c r="E42" s="288"/>
      <c r="F42" s="288"/>
      <c r="G42" s="288"/>
      <c r="H42" s="288"/>
      <c r="I42" s="288"/>
      <c r="J42" s="288"/>
      <c r="K42" s="288"/>
      <c r="L42" s="288"/>
      <c r="M42" s="289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8"/>
      <c r="D43" s="288"/>
      <c r="E43" s="288"/>
      <c r="F43" s="288"/>
      <c r="G43" s="288"/>
      <c r="H43" s="288"/>
      <c r="I43" s="288"/>
      <c r="J43" s="288"/>
      <c r="K43" s="288"/>
      <c r="L43" s="288"/>
      <c r="M43" s="289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8"/>
      <c r="D44" s="288"/>
      <c r="E44" s="288"/>
      <c r="F44" s="288"/>
      <c r="G44" s="288"/>
      <c r="H44" s="288"/>
      <c r="I44" s="288"/>
      <c r="J44" s="288"/>
      <c r="K44" s="288"/>
      <c r="L44" s="288"/>
      <c r="M44" s="289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8"/>
      <c r="D45" s="288"/>
      <c r="E45" s="288"/>
      <c r="F45" s="288"/>
      <c r="G45" s="288"/>
      <c r="H45" s="288"/>
      <c r="I45" s="288"/>
      <c r="J45" s="288"/>
      <c r="K45" s="288"/>
      <c r="L45" s="288"/>
      <c r="M45" s="289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8"/>
      <c r="D46" s="288"/>
      <c r="E46" s="288"/>
      <c r="F46" s="288"/>
      <c r="G46" s="288"/>
      <c r="H46" s="288"/>
      <c r="I46" s="288"/>
      <c r="J46" s="288"/>
      <c r="K46" s="288"/>
      <c r="L46" s="288"/>
      <c r="M46" s="289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8"/>
      <c r="D47" s="288"/>
      <c r="E47" s="288"/>
      <c r="F47" s="288"/>
      <c r="G47" s="288"/>
      <c r="H47" s="288"/>
      <c r="I47" s="288"/>
      <c r="J47" s="288"/>
      <c r="K47" s="288"/>
      <c r="L47" s="288"/>
      <c r="M47" s="289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8"/>
      <c r="D48" s="288"/>
      <c r="E48" s="288"/>
      <c r="F48" s="288"/>
      <c r="G48" s="288"/>
      <c r="H48" s="288"/>
      <c r="I48" s="288"/>
      <c r="J48" s="288"/>
      <c r="K48" s="288"/>
      <c r="L48" s="288"/>
      <c r="M48" s="289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8"/>
      <c r="D49" s="288"/>
      <c r="E49" s="288"/>
      <c r="F49" s="288"/>
      <c r="G49" s="288"/>
      <c r="H49" s="288"/>
      <c r="I49" s="288"/>
      <c r="J49" s="288"/>
      <c r="K49" s="288"/>
      <c r="L49" s="288"/>
      <c r="M49" s="289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8"/>
      <c r="D50" s="288"/>
      <c r="E50" s="288"/>
      <c r="F50" s="288"/>
      <c r="G50" s="288"/>
      <c r="H50" s="288"/>
      <c r="I50" s="288"/>
      <c r="J50" s="288"/>
      <c r="K50" s="288"/>
      <c r="L50" s="288"/>
      <c r="M50" s="289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8"/>
      <c r="D51" s="288"/>
      <c r="E51" s="288"/>
      <c r="F51" s="288"/>
      <c r="G51" s="288"/>
      <c r="H51" s="288"/>
      <c r="I51" s="288"/>
      <c r="J51" s="288"/>
      <c r="K51" s="288"/>
      <c r="L51" s="288"/>
      <c r="M51" s="289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8"/>
      <c r="D52" s="288"/>
      <c r="E52" s="288"/>
      <c r="F52" s="288"/>
      <c r="G52" s="288"/>
      <c r="H52" s="288"/>
      <c r="I52" s="288"/>
      <c r="J52" s="288"/>
      <c r="K52" s="288"/>
      <c r="L52" s="288"/>
      <c r="M52" s="289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8"/>
      <c r="D53" s="288"/>
      <c r="E53" s="288"/>
      <c r="F53" s="288"/>
      <c r="G53" s="288"/>
      <c r="H53" s="288"/>
      <c r="I53" s="288"/>
      <c r="J53" s="288"/>
      <c r="K53" s="288"/>
      <c r="L53" s="288"/>
      <c r="M53" s="289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8"/>
      <c r="D54" s="288"/>
      <c r="E54" s="288"/>
      <c r="F54" s="288"/>
      <c r="G54" s="288"/>
      <c r="H54" s="288"/>
      <c r="I54" s="288"/>
      <c r="J54" s="288"/>
      <c r="K54" s="288"/>
      <c r="L54" s="288"/>
      <c r="M54" s="289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8"/>
      <c r="D55" s="288"/>
      <c r="E55" s="288"/>
      <c r="F55" s="288"/>
      <c r="G55" s="288"/>
      <c r="H55" s="288"/>
      <c r="I55" s="288"/>
      <c r="J55" s="288"/>
      <c r="K55" s="288"/>
      <c r="L55" s="288"/>
      <c r="M55" s="289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8"/>
      <c r="D56" s="288"/>
      <c r="E56" s="288"/>
      <c r="F56" s="288"/>
      <c r="G56" s="288"/>
      <c r="H56" s="288"/>
      <c r="I56" s="288"/>
      <c r="J56" s="288"/>
      <c r="K56" s="288"/>
      <c r="L56" s="288"/>
      <c r="M56" s="289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8"/>
      <c r="D57" s="288"/>
      <c r="E57" s="288"/>
      <c r="F57" s="288"/>
      <c r="G57" s="288"/>
      <c r="H57" s="288"/>
      <c r="I57" s="288"/>
      <c r="J57" s="288"/>
      <c r="K57" s="288"/>
      <c r="L57" s="288"/>
      <c r="M57" s="289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8"/>
      <c r="D58" s="288"/>
      <c r="E58" s="288"/>
      <c r="F58" s="288"/>
      <c r="G58" s="288"/>
      <c r="H58" s="288"/>
      <c r="I58" s="288"/>
      <c r="J58" s="288"/>
      <c r="K58" s="288"/>
      <c r="L58" s="288"/>
      <c r="M58" s="289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8"/>
      <c r="D59" s="288"/>
      <c r="E59" s="288"/>
      <c r="F59" s="288"/>
      <c r="G59" s="288"/>
      <c r="H59" s="288"/>
      <c r="I59" s="288"/>
      <c r="J59" s="288"/>
      <c r="K59" s="288"/>
      <c r="L59" s="288"/>
      <c r="M59" s="289"/>
    </row>
    <row r="60" spans="1:256" x14ac:dyDescent="0.2">
      <c r="A60" s="218"/>
      <c r="B60" s="219"/>
      <c r="C60" s="288"/>
      <c r="D60" s="288"/>
      <c r="E60" s="288"/>
      <c r="F60" s="288"/>
      <c r="G60" s="288"/>
      <c r="H60" s="288"/>
      <c r="I60" s="288"/>
      <c r="J60" s="288"/>
      <c r="K60" s="288"/>
      <c r="L60" s="288"/>
      <c r="M60" s="289"/>
    </row>
    <row r="61" spans="1:256" x14ac:dyDescent="0.2">
      <c r="A61" s="218"/>
      <c r="B61" s="219"/>
      <c r="C61" s="288"/>
      <c r="D61" s="288"/>
      <c r="E61" s="288"/>
      <c r="F61" s="288"/>
      <c r="G61" s="288"/>
      <c r="H61" s="288"/>
      <c r="I61" s="288"/>
      <c r="J61" s="288"/>
      <c r="K61" s="288"/>
      <c r="L61" s="288"/>
      <c r="M61" s="289"/>
    </row>
    <row r="62" spans="1:256" x14ac:dyDescent="0.2">
      <c r="A62" s="218"/>
      <c r="B62" s="219"/>
      <c r="C62" s="288"/>
      <c r="D62" s="288"/>
      <c r="E62" s="288"/>
      <c r="F62" s="288"/>
      <c r="G62" s="288"/>
      <c r="H62" s="288"/>
      <c r="I62" s="288"/>
      <c r="J62" s="288"/>
      <c r="K62" s="288"/>
      <c r="L62" s="288"/>
      <c r="M62" s="289"/>
    </row>
    <row r="63" spans="1:256" x14ac:dyDescent="0.2">
      <c r="A63" s="218"/>
      <c r="B63" s="219"/>
      <c r="C63" s="288"/>
      <c r="D63" s="288"/>
      <c r="E63" s="288"/>
      <c r="F63" s="288"/>
      <c r="G63" s="288"/>
      <c r="H63" s="288"/>
      <c r="I63" s="288"/>
      <c r="J63" s="288"/>
      <c r="K63" s="288"/>
      <c r="L63" s="288"/>
      <c r="M63" s="289"/>
    </row>
    <row r="64" spans="1:256" x14ac:dyDescent="0.2">
      <c r="A64" s="218"/>
      <c r="B64" s="219"/>
      <c r="C64" s="288"/>
      <c r="D64" s="288"/>
      <c r="E64" s="288"/>
      <c r="F64" s="288"/>
      <c r="G64" s="288"/>
      <c r="H64" s="288"/>
      <c r="I64" s="288"/>
      <c r="J64" s="288"/>
      <c r="K64" s="288"/>
      <c r="L64" s="288"/>
      <c r="M64" s="289"/>
    </row>
    <row r="65" spans="1:13" x14ac:dyDescent="0.2">
      <c r="A65" s="218"/>
      <c r="B65" s="219"/>
      <c r="C65" s="288"/>
      <c r="D65" s="288"/>
      <c r="E65" s="288"/>
      <c r="F65" s="288"/>
      <c r="G65" s="288"/>
      <c r="H65" s="288"/>
      <c r="I65" s="288"/>
      <c r="J65" s="288"/>
      <c r="K65" s="288"/>
      <c r="L65" s="288"/>
      <c r="M65" s="289"/>
    </row>
    <row r="66" spans="1:13" x14ac:dyDescent="0.2">
      <c r="A66" s="218"/>
      <c r="B66" s="219"/>
      <c r="C66" s="288"/>
      <c r="D66" s="288"/>
      <c r="E66" s="288"/>
      <c r="F66" s="288"/>
      <c r="G66" s="288"/>
      <c r="H66" s="288"/>
      <c r="I66" s="288"/>
      <c r="J66" s="288"/>
      <c r="K66" s="288"/>
      <c r="L66" s="288"/>
      <c r="M66" s="289"/>
    </row>
    <row r="67" spans="1:13" x14ac:dyDescent="0.2">
      <c r="A67" s="218"/>
      <c r="B67" s="219"/>
      <c r="C67" s="288"/>
      <c r="D67" s="288"/>
      <c r="E67" s="288"/>
      <c r="F67" s="288"/>
      <c r="G67" s="288"/>
      <c r="H67" s="288"/>
      <c r="I67" s="288"/>
      <c r="J67" s="288"/>
      <c r="K67" s="288"/>
      <c r="L67" s="288"/>
      <c r="M67" s="289"/>
    </row>
    <row r="68" spans="1:13" x14ac:dyDescent="0.2">
      <c r="A68" s="218"/>
      <c r="B68" s="219"/>
      <c r="C68" s="288"/>
      <c r="D68" s="288"/>
      <c r="E68" s="288"/>
      <c r="F68" s="288"/>
      <c r="G68" s="288"/>
      <c r="H68" s="288"/>
      <c r="I68" s="288"/>
      <c r="J68" s="288"/>
      <c r="K68" s="288"/>
      <c r="L68" s="288"/>
      <c r="M68" s="289"/>
    </row>
    <row r="69" spans="1:13" x14ac:dyDescent="0.2">
      <c r="A69" s="218"/>
      <c r="B69" s="219"/>
      <c r="C69" s="288"/>
      <c r="D69" s="288"/>
      <c r="E69" s="288"/>
      <c r="F69" s="288"/>
      <c r="G69" s="288"/>
      <c r="H69" s="288"/>
      <c r="I69" s="288"/>
      <c r="J69" s="288"/>
      <c r="K69" s="288"/>
      <c r="L69" s="288"/>
      <c r="M69" s="289"/>
    </row>
    <row r="70" spans="1:13" ht="12" thickBot="1" x14ac:dyDescent="0.25">
      <c r="A70" s="220"/>
      <c r="B70" s="221"/>
      <c r="C70" s="301"/>
      <c r="D70" s="301"/>
      <c r="E70" s="301"/>
      <c r="F70" s="301"/>
      <c r="G70" s="301"/>
      <c r="H70" s="301"/>
      <c r="I70" s="301"/>
      <c r="J70" s="301"/>
      <c r="K70" s="301"/>
      <c r="L70" s="301"/>
      <c r="M70" s="302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3" t="s">
        <v>842</v>
      </c>
      <c r="B72" s="303"/>
      <c r="C72" s="303"/>
      <c r="D72" s="303"/>
      <c r="E72" s="303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300"/>
      <c r="D73" s="300"/>
      <c r="E73" s="300"/>
      <c r="F73" s="300"/>
      <c r="G73" s="300"/>
      <c r="H73" s="300"/>
      <c r="I73" s="300"/>
      <c r="J73" s="300"/>
      <c r="K73" s="300"/>
      <c r="L73" s="300"/>
      <c r="M73" s="300"/>
    </row>
    <row r="74" spans="1:13" x14ac:dyDescent="0.2">
      <c r="A74" s="211"/>
      <c r="B74" s="211"/>
      <c r="C74" s="300"/>
      <c r="D74" s="300"/>
      <c r="E74" s="300"/>
      <c r="F74" s="300"/>
      <c r="G74" s="300"/>
      <c r="H74" s="300"/>
      <c r="I74" s="300"/>
      <c r="J74" s="300"/>
      <c r="K74" s="300"/>
      <c r="L74" s="300"/>
      <c r="M74" s="300"/>
    </row>
    <row r="75" spans="1:13" x14ac:dyDescent="0.2">
      <c r="A75" s="211"/>
      <c r="B75" s="211"/>
      <c r="C75" s="300"/>
      <c r="D75" s="300"/>
      <c r="E75" s="300"/>
      <c r="F75" s="300"/>
      <c r="G75" s="300"/>
      <c r="H75" s="300"/>
      <c r="I75" s="300"/>
      <c r="J75" s="300"/>
      <c r="K75" s="300"/>
      <c r="L75" s="300"/>
      <c r="M75" s="300"/>
    </row>
    <row r="76" spans="1:13" x14ac:dyDescent="0.2">
      <c r="A76" s="211"/>
      <c r="B76" s="211"/>
      <c r="C76" s="300"/>
      <c r="D76" s="300"/>
      <c r="E76" s="300"/>
      <c r="F76" s="300"/>
      <c r="G76" s="300"/>
      <c r="H76" s="300"/>
      <c r="I76" s="300"/>
      <c r="J76" s="300"/>
      <c r="K76" s="300"/>
      <c r="L76" s="300"/>
      <c r="M76" s="300"/>
    </row>
    <row r="77" spans="1:13" x14ac:dyDescent="0.2">
      <c r="A77" s="211"/>
      <c r="B77" s="211"/>
      <c r="C77" s="300"/>
      <c r="D77" s="300"/>
      <c r="E77" s="300"/>
      <c r="F77" s="300"/>
      <c r="G77" s="300"/>
      <c r="H77" s="300"/>
      <c r="I77" s="300"/>
      <c r="J77" s="300"/>
      <c r="K77" s="300"/>
      <c r="L77" s="300"/>
      <c r="M77" s="300"/>
    </row>
    <row r="78" spans="1:13" x14ac:dyDescent="0.2">
      <c r="A78" s="211"/>
      <c r="B78" s="211"/>
      <c r="C78" s="300"/>
      <c r="D78" s="300"/>
      <c r="E78" s="300"/>
      <c r="F78" s="300"/>
      <c r="G78" s="300"/>
      <c r="H78" s="300"/>
      <c r="I78" s="300"/>
      <c r="J78" s="300"/>
      <c r="K78" s="300"/>
      <c r="L78" s="300"/>
      <c r="M78" s="300"/>
    </row>
    <row r="79" spans="1:13" x14ac:dyDescent="0.2">
      <c r="A79" s="211"/>
      <c r="B79" s="211"/>
      <c r="C79" s="300"/>
      <c r="D79" s="300"/>
      <c r="E79" s="300"/>
      <c r="F79" s="300"/>
      <c r="G79" s="300"/>
      <c r="H79" s="300"/>
      <c r="I79" s="300"/>
      <c r="J79" s="300"/>
      <c r="K79" s="300"/>
      <c r="L79" s="300"/>
      <c r="M79" s="300"/>
    </row>
    <row r="80" spans="1:13" x14ac:dyDescent="0.2">
      <c r="A80" s="211"/>
      <c r="B80" s="211"/>
      <c r="C80" s="300"/>
      <c r="D80" s="300"/>
      <c r="E80" s="300"/>
      <c r="F80" s="300"/>
      <c r="G80" s="300"/>
      <c r="H80" s="300"/>
      <c r="I80" s="300"/>
      <c r="J80" s="300"/>
      <c r="K80" s="300"/>
      <c r="L80" s="300"/>
      <c r="M80" s="300"/>
    </row>
    <row r="81" spans="1:13" x14ac:dyDescent="0.2">
      <c r="A81" s="211"/>
      <c r="B81" s="211"/>
      <c r="C81" s="300"/>
      <c r="D81" s="300"/>
      <c r="E81" s="300"/>
      <c r="F81" s="300"/>
      <c r="G81" s="300"/>
      <c r="H81" s="300"/>
      <c r="I81" s="300"/>
      <c r="J81" s="300"/>
      <c r="K81" s="300"/>
      <c r="L81" s="300"/>
      <c r="M81" s="300"/>
    </row>
    <row r="82" spans="1:13" x14ac:dyDescent="0.2">
      <c r="A82" s="211"/>
      <c r="B82" s="211"/>
      <c r="C82" s="300"/>
      <c r="D82" s="300"/>
      <c r="E82" s="300"/>
      <c r="F82" s="300"/>
      <c r="G82" s="300"/>
      <c r="H82" s="300"/>
      <c r="I82" s="300"/>
      <c r="J82" s="300"/>
      <c r="K82" s="300"/>
      <c r="L82" s="300"/>
      <c r="M82" s="300"/>
    </row>
    <row r="83" spans="1:13" x14ac:dyDescent="0.2">
      <c r="A83" s="211"/>
      <c r="B83" s="211"/>
      <c r="C83" s="300"/>
      <c r="D83" s="300"/>
      <c r="E83" s="300"/>
      <c r="F83" s="300"/>
      <c r="G83" s="300"/>
      <c r="H83" s="300"/>
      <c r="I83" s="300"/>
      <c r="J83" s="300"/>
      <c r="K83" s="300"/>
      <c r="L83" s="300"/>
      <c r="M83" s="300"/>
    </row>
    <row r="84" spans="1:13" x14ac:dyDescent="0.2">
      <c r="A84" s="211"/>
      <c r="B84" s="211"/>
      <c r="C84" s="300"/>
      <c r="D84" s="300"/>
      <c r="E84" s="300"/>
      <c r="F84" s="300"/>
      <c r="G84" s="300"/>
      <c r="H84" s="300"/>
      <c r="I84" s="300"/>
      <c r="J84" s="300"/>
      <c r="K84" s="300"/>
      <c r="L84" s="300"/>
      <c r="M84" s="300"/>
    </row>
    <row r="85" spans="1:13" x14ac:dyDescent="0.2">
      <c r="A85" s="211"/>
      <c r="B85" s="211"/>
      <c r="C85" s="300"/>
      <c r="D85" s="300"/>
      <c r="E85" s="300"/>
      <c r="F85" s="300"/>
      <c r="G85" s="300"/>
      <c r="H85" s="300"/>
      <c r="I85" s="300"/>
      <c r="J85" s="300"/>
      <c r="K85" s="300"/>
      <c r="L85" s="300"/>
      <c r="M85" s="300"/>
    </row>
    <row r="86" spans="1:13" x14ac:dyDescent="0.2">
      <c r="A86" s="211"/>
      <c r="B86" s="211"/>
      <c r="C86" s="300"/>
      <c r="D86" s="300"/>
      <c r="E86" s="300"/>
      <c r="F86" s="300"/>
      <c r="G86" s="300"/>
      <c r="H86" s="300"/>
      <c r="I86" s="300"/>
      <c r="J86" s="300"/>
      <c r="K86" s="300"/>
      <c r="L86" s="300"/>
      <c r="M86" s="300"/>
    </row>
    <row r="87" spans="1:13" x14ac:dyDescent="0.2">
      <c r="A87" s="211"/>
      <c r="B87" s="211"/>
      <c r="C87" s="300"/>
      <c r="D87" s="300"/>
      <c r="E87" s="300"/>
      <c r="F87" s="300"/>
      <c r="G87" s="300"/>
      <c r="H87" s="300"/>
      <c r="I87" s="300"/>
      <c r="J87" s="300"/>
      <c r="K87" s="300"/>
      <c r="L87" s="300"/>
      <c r="M87" s="300"/>
    </row>
    <row r="88" spans="1:13" x14ac:dyDescent="0.2">
      <c r="A88" s="211"/>
      <c r="B88" s="211"/>
      <c r="C88" s="300"/>
      <c r="D88" s="300"/>
      <c r="E88" s="300"/>
      <c r="F88" s="300"/>
      <c r="G88" s="300"/>
      <c r="H88" s="300"/>
      <c r="I88" s="300"/>
      <c r="J88" s="300"/>
      <c r="K88" s="300"/>
      <c r="L88" s="300"/>
      <c r="M88" s="300"/>
    </row>
    <row r="89" spans="1:13" x14ac:dyDescent="0.2">
      <c r="A89" s="211"/>
      <c r="B89" s="211"/>
      <c r="C89" s="300"/>
      <c r="D89" s="300"/>
      <c r="E89" s="300"/>
      <c r="F89" s="300"/>
      <c r="G89" s="300"/>
      <c r="H89" s="300"/>
      <c r="I89" s="300"/>
      <c r="J89" s="300"/>
      <c r="K89" s="300"/>
      <c r="L89" s="300"/>
      <c r="M89" s="300"/>
    </row>
    <row r="90" spans="1:13" x14ac:dyDescent="0.2">
      <c r="A90" s="211"/>
      <c r="B90" s="211"/>
      <c r="C90" s="300"/>
      <c r="D90" s="300"/>
      <c r="E90" s="300"/>
      <c r="F90" s="300"/>
      <c r="G90" s="300"/>
      <c r="H90" s="300"/>
      <c r="I90" s="300"/>
      <c r="J90" s="300"/>
      <c r="K90" s="300"/>
      <c r="L90" s="300"/>
      <c r="M90" s="300"/>
    </row>
  </sheetData>
  <sheetProtection password="970A" sheet="1" objects="1" scenarios="1"/>
  <mergeCells count="222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2018-08-29T16:31:00Z</cp:lastPrinted>
  <dcterms:created xsi:type="dcterms:W3CDTF">1997-12-04T19:04:30Z</dcterms:created>
  <dcterms:modified xsi:type="dcterms:W3CDTF">2018-12-03T19:06:22Z</dcterms:modified>
</cp:coreProperties>
</file>