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3040" windowHeight="99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316" i="1" l="1"/>
  <c r="H255" i="1"/>
  <c r="J468" i="1" l="1"/>
  <c r="H98" i="1"/>
  <c r="H468" i="1"/>
  <c r="H102" i="1"/>
  <c r="H472" i="1"/>
  <c r="J604" i="1"/>
  <c r="I604" i="1"/>
  <c r="H604" i="1"/>
  <c r="J592" i="1"/>
  <c r="J593" i="1"/>
  <c r="J595" i="1"/>
  <c r="I597" i="1"/>
  <c r="I528" i="1"/>
  <c r="I527" i="1"/>
  <c r="I526" i="1"/>
  <c r="H527" i="1"/>
  <c r="H543" i="1"/>
  <c r="H528" i="1"/>
  <c r="H526" i="1"/>
  <c r="G528" i="1"/>
  <c r="G527" i="1"/>
  <c r="G526" i="1"/>
  <c r="F528" i="1"/>
  <c r="F527" i="1"/>
  <c r="F526" i="1"/>
  <c r="H502" i="1"/>
  <c r="H501" i="1"/>
  <c r="G502" i="1"/>
  <c r="G501" i="1"/>
  <c r="H497" i="1"/>
  <c r="G497" i="1"/>
  <c r="H400" i="1"/>
  <c r="G367" i="1" l="1"/>
  <c r="F368" i="1"/>
  <c r="H367" i="1"/>
  <c r="G320" i="1" l="1"/>
  <c r="K323" i="1"/>
  <c r="K304" i="1"/>
  <c r="K285" i="1"/>
  <c r="I320" i="1"/>
  <c r="I301" i="1"/>
  <c r="I282" i="1"/>
  <c r="H320" i="1"/>
  <c r="H282" i="1"/>
  <c r="G301" i="1"/>
  <c r="G282" i="1"/>
  <c r="F320" i="1"/>
  <c r="F301" i="1"/>
  <c r="F282" i="1"/>
  <c r="J314" i="1"/>
  <c r="J295" i="1"/>
  <c r="J276" i="1"/>
  <c r="H324" i="1"/>
  <c r="H319" i="1"/>
  <c r="H317" i="1"/>
  <c r="G319" i="1"/>
  <c r="G317" i="1"/>
  <c r="F319" i="1"/>
  <c r="F317" i="1"/>
  <c r="K279" i="1"/>
  <c r="I281" i="1"/>
  <c r="I279" i="1"/>
  <c r="H287" i="1"/>
  <c r="H281" i="1"/>
  <c r="G281" i="1"/>
  <c r="G277" i="1"/>
  <c r="F281" i="1"/>
  <c r="F277" i="1"/>
  <c r="K240" i="1"/>
  <c r="K239" i="1"/>
  <c r="K238" i="1"/>
  <c r="J236" i="1"/>
  <c r="J243" i="1"/>
  <c r="I241" i="1"/>
  <c r="I243" i="1"/>
  <c r="I239" i="1"/>
  <c r="I238" i="1"/>
  <c r="I236" i="1"/>
  <c r="H245" i="1"/>
  <c r="H244" i="1"/>
  <c r="H243" i="1"/>
  <c r="H241" i="1"/>
  <c r="H240" i="1"/>
  <c r="H239" i="1"/>
  <c r="H238" i="1"/>
  <c r="H236" i="1"/>
  <c r="G243" i="1"/>
  <c r="G240" i="1"/>
  <c r="G239" i="1"/>
  <c r="G238" i="1"/>
  <c r="G236" i="1"/>
  <c r="F243" i="1"/>
  <c r="F240" i="1"/>
  <c r="F239" i="1"/>
  <c r="F238" i="1"/>
  <c r="F236" i="1"/>
  <c r="K218" i="1"/>
  <c r="K222" i="1"/>
  <c r="K221" i="1"/>
  <c r="K220" i="1"/>
  <c r="I221" i="1"/>
  <c r="I220" i="1"/>
  <c r="I218" i="1"/>
  <c r="H227" i="1"/>
  <c r="H226" i="1"/>
  <c r="H225" i="1"/>
  <c r="H223" i="1"/>
  <c r="H222" i="1"/>
  <c r="H221" i="1"/>
  <c r="H220" i="1"/>
  <c r="H218" i="1"/>
  <c r="H216" i="1"/>
  <c r="G225" i="1"/>
  <c r="G222" i="1"/>
  <c r="G221" i="1"/>
  <c r="G220" i="1"/>
  <c r="G218" i="1"/>
  <c r="G216" i="1"/>
  <c r="F225" i="1"/>
  <c r="F222" i="1"/>
  <c r="F221" i="1"/>
  <c r="F220" i="1"/>
  <c r="F218" i="1"/>
  <c r="F216" i="1"/>
  <c r="K204" i="1"/>
  <c r="I203" i="1"/>
  <c r="I204" i="1"/>
  <c r="I202" i="1"/>
  <c r="I198" i="1"/>
  <c r="H209" i="1"/>
  <c r="H208" i="1"/>
  <c r="H207" i="1"/>
  <c r="H204" i="1"/>
  <c r="H203" i="1"/>
  <c r="H202" i="1"/>
  <c r="H198" i="1"/>
  <c r="G202" i="1"/>
  <c r="G207" i="1"/>
  <c r="G204" i="1"/>
  <c r="G203" i="1"/>
  <c r="G200" i="1"/>
  <c r="G198" i="1"/>
  <c r="F207" i="1"/>
  <c r="F204" i="1"/>
  <c r="F203" i="1"/>
  <c r="F202" i="1"/>
  <c r="F200" i="1"/>
  <c r="F198" i="1"/>
  <c r="H64" i="1"/>
  <c r="H63" i="1"/>
  <c r="G97" i="1"/>
  <c r="F110" i="1"/>
  <c r="H36" i="1" l="1"/>
  <c r="H43" i="1"/>
  <c r="H45" i="1"/>
  <c r="H28" i="1"/>
  <c r="H24" i="1"/>
  <c r="H23" i="1"/>
  <c r="H13" i="1"/>
  <c r="H17" i="1"/>
  <c r="H14" i="1"/>
  <c r="H9" i="1"/>
  <c r="G9" i="1"/>
  <c r="F9" i="1"/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E123" i="2" s="1"/>
  <c r="L325" i="1"/>
  <c r="L326" i="1"/>
  <c r="L333" i="1"/>
  <c r="E114" i="2" s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L250" i="1"/>
  <c r="L332" i="1"/>
  <c r="L254" i="1"/>
  <c r="C25" i="10"/>
  <c r="L268" i="1"/>
  <c r="L269" i="1"/>
  <c r="C143" i="2" s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C113" i="2"/>
  <c r="E113" i="2"/>
  <c r="D115" i="2"/>
  <c r="F115" i="2"/>
  <c r="G115" i="2"/>
  <c r="E119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H641" i="1" s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70" i="1" s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1" i="1"/>
  <c r="J641" i="1" s="1"/>
  <c r="G643" i="1"/>
  <c r="J643" i="1" s="1"/>
  <c r="H643" i="1"/>
  <c r="G644" i="1"/>
  <c r="G645" i="1"/>
  <c r="G652" i="1"/>
  <c r="H652" i="1"/>
  <c r="G653" i="1"/>
  <c r="H653" i="1"/>
  <c r="G654" i="1"/>
  <c r="H654" i="1"/>
  <c r="H655" i="1"/>
  <c r="C26" i="10"/>
  <c r="D18" i="2"/>
  <c r="E78" i="2"/>
  <c r="K605" i="1"/>
  <c r="G648" i="1" s="1"/>
  <c r="L419" i="1"/>
  <c r="I169" i="1"/>
  <c r="H476" i="1"/>
  <c r="H624" i="1" s="1"/>
  <c r="J140" i="1"/>
  <c r="G22" i="2"/>
  <c r="H140" i="1"/>
  <c r="H571" i="1"/>
  <c r="G192" i="1"/>
  <c r="G36" i="2"/>
  <c r="J617" i="1" l="1"/>
  <c r="J644" i="1"/>
  <c r="E103" i="2"/>
  <c r="L614" i="1"/>
  <c r="J651" i="1"/>
  <c r="K598" i="1"/>
  <c r="G647" i="1" s="1"/>
  <c r="K545" i="1"/>
  <c r="I545" i="1"/>
  <c r="I552" i="1"/>
  <c r="H545" i="1"/>
  <c r="L529" i="1"/>
  <c r="G552" i="1"/>
  <c r="G545" i="1"/>
  <c r="K550" i="1"/>
  <c r="K549" i="1"/>
  <c r="F552" i="1"/>
  <c r="K503" i="1"/>
  <c r="G164" i="2"/>
  <c r="G156" i="2"/>
  <c r="J640" i="1"/>
  <c r="L401" i="1"/>
  <c r="C139" i="2" s="1"/>
  <c r="J645" i="1"/>
  <c r="J634" i="1"/>
  <c r="D29" i="13"/>
  <c r="C29" i="13" s="1"/>
  <c r="F661" i="1"/>
  <c r="H661" i="1"/>
  <c r="E122" i="2"/>
  <c r="E120" i="2"/>
  <c r="H338" i="1"/>
  <c r="H352" i="1" s="1"/>
  <c r="C12" i="10"/>
  <c r="G338" i="1"/>
  <c r="G352" i="1" s="1"/>
  <c r="E118" i="2"/>
  <c r="E112" i="2"/>
  <c r="E110" i="2"/>
  <c r="F338" i="1"/>
  <c r="F352" i="1" s="1"/>
  <c r="L328" i="1"/>
  <c r="E125" i="2"/>
  <c r="E109" i="2"/>
  <c r="L309" i="1"/>
  <c r="K338" i="1"/>
  <c r="K352" i="1" s="1"/>
  <c r="L290" i="1"/>
  <c r="J655" i="1"/>
  <c r="L270" i="1"/>
  <c r="I257" i="1"/>
  <c r="I271" i="1" s="1"/>
  <c r="C19" i="10"/>
  <c r="C15" i="10"/>
  <c r="A31" i="12"/>
  <c r="L247" i="1"/>
  <c r="D12" i="13"/>
  <c r="C12" i="13" s="1"/>
  <c r="J257" i="1"/>
  <c r="J271" i="1" s="1"/>
  <c r="H257" i="1"/>
  <c r="H271" i="1" s="1"/>
  <c r="G650" i="1"/>
  <c r="C21" i="10"/>
  <c r="C118" i="2"/>
  <c r="C112" i="2"/>
  <c r="L229" i="1"/>
  <c r="C11" i="10"/>
  <c r="C10" i="10"/>
  <c r="F257" i="1"/>
  <c r="F271" i="1" s="1"/>
  <c r="E8" i="13"/>
  <c r="C8" i="13" s="1"/>
  <c r="K257" i="1"/>
  <c r="K271" i="1" s="1"/>
  <c r="D14" i="13"/>
  <c r="C14" i="13" s="1"/>
  <c r="D7" i="13"/>
  <c r="C7" i="13" s="1"/>
  <c r="F22" i="13"/>
  <c r="C22" i="13" s="1"/>
  <c r="L256" i="1"/>
  <c r="C125" i="2"/>
  <c r="G649" i="1"/>
  <c r="J649" i="1" s="1"/>
  <c r="C124" i="2"/>
  <c r="D15" i="13"/>
  <c r="C15" i="13" s="1"/>
  <c r="H647" i="1"/>
  <c r="F662" i="1"/>
  <c r="I662" i="1" s="1"/>
  <c r="E13" i="13"/>
  <c r="C13" i="13" s="1"/>
  <c r="C16" i="10"/>
  <c r="G257" i="1"/>
  <c r="G271" i="1" s="1"/>
  <c r="C109" i="2"/>
  <c r="C18" i="10"/>
  <c r="C17" i="10"/>
  <c r="D6" i="13"/>
  <c r="C6" i="13" s="1"/>
  <c r="A40" i="12"/>
  <c r="D5" i="13"/>
  <c r="C5" i="13" s="1"/>
  <c r="A13" i="12"/>
  <c r="H112" i="1"/>
  <c r="H193" i="1" s="1"/>
  <c r="G629" i="1" s="1"/>
  <c r="J629" i="1" s="1"/>
  <c r="E62" i="2"/>
  <c r="E63" i="2" s="1"/>
  <c r="H169" i="1"/>
  <c r="D62" i="2"/>
  <c r="D63" i="2" s="1"/>
  <c r="C91" i="2"/>
  <c r="C70" i="2"/>
  <c r="F112" i="1"/>
  <c r="C62" i="2"/>
  <c r="C63" i="2" s="1"/>
  <c r="G625" i="1"/>
  <c r="E31" i="2"/>
  <c r="D31" i="2"/>
  <c r="J622" i="1"/>
  <c r="C18" i="2"/>
  <c r="I476" i="1"/>
  <c r="H625" i="1" s="1"/>
  <c r="C35" i="10"/>
  <c r="K551" i="1"/>
  <c r="E16" i="13"/>
  <c r="H25" i="13"/>
  <c r="H552" i="1"/>
  <c r="F169" i="1"/>
  <c r="E81" i="2"/>
  <c r="D19" i="13"/>
  <c r="C19" i="13" s="1"/>
  <c r="G624" i="1"/>
  <c r="J624" i="1" s="1"/>
  <c r="L534" i="1"/>
  <c r="K500" i="1"/>
  <c r="I460" i="1"/>
  <c r="I452" i="1"/>
  <c r="I446" i="1"/>
  <c r="G642" i="1" s="1"/>
  <c r="C123" i="2"/>
  <c r="C121" i="2"/>
  <c r="C119" i="2"/>
  <c r="C110" i="2"/>
  <c r="C78" i="2"/>
  <c r="G661" i="1"/>
  <c r="L211" i="1"/>
  <c r="C20" i="10"/>
  <c r="L362" i="1"/>
  <c r="C27" i="10" s="1"/>
  <c r="L544" i="1"/>
  <c r="L524" i="1"/>
  <c r="J338" i="1"/>
  <c r="J352" i="1" s="1"/>
  <c r="D127" i="2"/>
  <c r="D128" i="2" s="1"/>
  <c r="D145" i="2" s="1"/>
  <c r="C120" i="2"/>
  <c r="C13" i="10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A22" i="12"/>
  <c r="G50" i="2"/>
  <c r="G51" i="2" s="1"/>
  <c r="J652" i="1"/>
  <c r="G571" i="1"/>
  <c r="I434" i="1"/>
  <c r="G434" i="1"/>
  <c r="I663" i="1"/>
  <c r="G104" i="2" l="1"/>
  <c r="F104" i="2"/>
  <c r="I193" i="1"/>
  <c r="G630" i="1" s="1"/>
  <c r="J630" i="1" s="1"/>
  <c r="J647" i="1"/>
  <c r="K552" i="1"/>
  <c r="H646" i="1"/>
  <c r="J646" i="1" s="1"/>
  <c r="G635" i="1"/>
  <c r="J635" i="1" s="1"/>
  <c r="I661" i="1"/>
  <c r="E115" i="2"/>
  <c r="H660" i="1"/>
  <c r="H664" i="1" s="1"/>
  <c r="H672" i="1" s="1"/>
  <c r="C6" i="10" s="1"/>
  <c r="E128" i="2"/>
  <c r="G660" i="1"/>
  <c r="G664" i="1" s="1"/>
  <c r="L338" i="1"/>
  <c r="L352" i="1" s="1"/>
  <c r="G633" i="1" s="1"/>
  <c r="J633" i="1" s="1"/>
  <c r="F33" i="13"/>
  <c r="H648" i="1"/>
  <c r="J648" i="1" s="1"/>
  <c r="C115" i="2"/>
  <c r="L257" i="1"/>
  <c r="L271" i="1" s="1"/>
  <c r="G632" i="1" s="1"/>
  <c r="J632" i="1" s="1"/>
  <c r="C28" i="10"/>
  <c r="D23" i="10" s="1"/>
  <c r="E104" i="2"/>
  <c r="D104" i="2"/>
  <c r="C81" i="2"/>
  <c r="C104" i="2" s="1"/>
  <c r="C36" i="10"/>
  <c r="J625" i="1"/>
  <c r="E51" i="2"/>
  <c r="L545" i="1"/>
  <c r="C25" i="13"/>
  <c r="H33" i="13"/>
  <c r="C128" i="2"/>
  <c r="E33" i="13"/>
  <c r="D35" i="13" s="1"/>
  <c r="C16" i="13"/>
  <c r="F660" i="1"/>
  <c r="D31" i="13"/>
  <c r="C31" i="13" s="1"/>
  <c r="I461" i="1"/>
  <c r="H642" i="1" s="1"/>
  <c r="J64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E145" i="2"/>
  <c r="C145" i="2"/>
  <c r="D19" i="10"/>
  <c r="D18" i="10"/>
  <c r="D26" i="10"/>
  <c r="D17" i="10"/>
  <c r="D27" i="10"/>
  <c r="D12" i="10"/>
  <c r="D10" i="10"/>
  <c r="C30" i="10"/>
  <c r="D20" i="10"/>
  <c r="D15" i="10"/>
  <c r="D25" i="10"/>
  <c r="D22" i="10"/>
  <c r="D13" i="10"/>
  <c r="D11" i="10"/>
  <c r="D21" i="10"/>
  <c r="D24" i="10"/>
  <c r="D16" i="10"/>
  <c r="G667" i="1"/>
  <c r="G672" i="1"/>
  <c r="C5" i="10" s="1"/>
  <c r="F664" i="1"/>
  <c r="I660" i="1"/>
  <c r="I664" i="1" s="1"/>
  <c r="I672" i="1" s="1"/>
  <c r="C7" i="10" s="1"/>
  <c r="D33" i="13"/>
  <c r="D36" i="13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<sst xmlns="http://schemas.openxmlformats.org/spreadsheetml/2006/main" count="3963" uniqueCount="917">
  <si>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</si>
  <si>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</si>
  <si>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</si>
  <si>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</si>
  <si>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</si>
  <si>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</si>
  <si>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</si>
  <si>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</si>
  <si>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</si>
  <si>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</si>
  <si>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</si>
  <si>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</si>
  <si>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</si>
  <si>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</si>
  <si>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</si>
  <si>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</si>
  <si>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</si>
  <si>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</si>
  <si>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</si>
  <si>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</si>
  <si>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</si>
  <si>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</si>
  <si>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</si>
  <si>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</si>
  <si>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</si>
  <si>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</si>
  <si>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</si>
  <si>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</si>
  <si>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</si>
  <si>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</si>
  <si>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</si>
  <si>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</si>
  <si>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</si>
  <si>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</si>
  <si>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</si>
  <si>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</si>
  <si>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</si>
  <si>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</si>
  <si>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</si>
  <si>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</si>
  <si>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</si>
  <si>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</si>
  <si>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</si>
  <si>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</si>
  <si>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</si>
  <si>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</si>
  <si>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</si>
  <si>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</si>
  <si>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</si>
  <si>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</si>
  <si>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</si>
  <si>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</si>
  <si>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</si>
  <si>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</si>
  <si>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</si>
  <si>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</si>
  <si>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</si>
  <si>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</si>
  <si>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</si>
  <si>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</si>
  <si>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</si>
  <si>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</si>
  <si>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</si>
  <si>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</si>
  <si>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</si>
  <si>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</si>
  <si>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</si>
  <si>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</si>
  <si>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</si>
  <si>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</si>
  <si>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</si>
  <si>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</si>
  <si>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</si>
  <si>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</si>
  <si>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</si>
  <si>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</si>
  <si>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</si>
  <si>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</si>
  <si>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</si>
  <si>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</si>
  <si>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</si>
  <si>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</si>
  <si>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</si>
  <si>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</si>
  <si>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</si>
  <si>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</si>
  <si>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</si>
  <si>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</si>
  <si>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</si>
  <si>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</si>
  <si>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</si>
  <si>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</si>
  <si>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</si>
  <si>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</si>
  <si>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</si>
  <si>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</si>
  <si>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</si>
  <si>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</si>
  <si>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</si>
  <si>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</si>
  <si>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</si>
  <si>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</si>
  <si>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</si>
  <si>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</si>
  <si>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</si>
  <si>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</si>
  <si>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</si>
  <si>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</si>
  <si>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</si>
  <si>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</si>
  <si>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</si>
  <si>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</si>
  <si>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</si>
  <si>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</si>
  <si>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</si>
  <si>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</si>
  <si>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</si>
  <si>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</si>
  <si>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</si>
  <si>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</si>
  <si>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</si>
  <si>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</si>
  <si>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</si>
  <si>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</si>
  <si>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</si>
  <si>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</si>
  <si>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</si>
  <si>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</si>
  <si>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</si>
  <si>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</si>
  <si>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</si>
  <si>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</si>
  <si>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</si>
  <si>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</si>
  <si>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</si>
  <si>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</si>
  <si>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</si>
  <si>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</si>
  <si>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</si>
  <si>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</si>
  <si>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</si>
  <si>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</si>
  <si>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</si>
  <si>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</si>
  <si>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</si>
  <si>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</si>
  <si>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</si>
  <si>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</si>
  <si>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</si>
  <si>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</si>
  <si>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</si>
  <si>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</si>
  <si>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</si>
  <si>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</si>
  <si>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</si>
  <si>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</si>
  <si>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</si>
  <si>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</si>
  <si>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</si>
  <si>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</si>
  <si>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</si>
  <si>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</si>
  <si>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</si>
  <si>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</si>
  <si>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</si>
  <si>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</si>
  <si>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</si>
  <si>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</si>
  <si>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</si>
  <si>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</si>
  <si>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</si>
  <si>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</si>
  <si>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</si>
  <si>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</si>
  <si>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</si>
  <si>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</si>
  <si>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</si>
  <si>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</si>
  <si>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</si>
  <si>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</si>
  <si>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</si>
  <si>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</si>
  <si>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</si>
  <si>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</si>
  <si>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</si>
  <si>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</si>
  <si>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</si>
  <si>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</si>
  <si>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</si>
  <si>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</si>
  <si>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</si>
  <si>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</si>
  <si>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</si>
  <si>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</si>
  <si>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</si>
  <si>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</si>
  <si>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</si>
  <si>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</si>
  <si>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</si>
  <si>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</si>
  <si>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</si>
  <si>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</si>
  <si>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</si>
  <si>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</si>
  <si>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</si>
  <si>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</si>
  <si>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</si>
  <si>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</si>
  <si>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</si>
  <si>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</si>
  <si>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</si>
  <si>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</si>
  <si>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</si>
  <si>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</si>
  <si>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</si>
  <si>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</si>
  <si>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</si>
  <si>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</si>
  <si>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</si>
  <si>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</si>
  <si>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</si>
  <si>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</si>
  <si>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</si>
  <si>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</si>
  <si>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</si>
  <si>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</si>
  <si>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</si>
  <si>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</si>
  <si>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</si>
  <si>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</si>
  <si>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</si>
  <si>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</si>
  <si>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</si>
  <si>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</si>
  <si>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</si>
  <si>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</si>
  <si>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</si>
  <si>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</si>
  <si>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</si>
  <si>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</si>
  <si>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</si>
  <si>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</si>
  <si>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</si>
  <si>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</si>
  <si>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</si>
  <si>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</si>
  <si>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</si>
  <si>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</si>
  <si>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</si>
  <si>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</si>
  <si>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</si>
  <si>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</si>
  <si>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</si>
  <si>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</si>
  <si>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</si>
  <si>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</si>
  <si>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</si>
  <si>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</si>
  <si>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</si>
  <si>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</si>
  <si>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</si>
  <si>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</si>
  <si>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</si>
  <si>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</si>
  <si>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</si>
  <si>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</si>
  <si>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</si>
  <si>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</si>
  <si>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</si>
  <si>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</si>
  <si>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</si>
  <si>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</si>
  <si>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</si>
  <si>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</si>
  <si>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</si>
  <si>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</si>
  <si>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</si>
  <si>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</si>
  <si>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</si>
  <si>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</si>
  <si>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</si>
  <si>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</si>
  <si>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</si>
  <si>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</si>
  <si>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</si>
  <si>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</si>
  <si>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</si>
  <si>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</si>
  <si>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</si>
  <si>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</si>
  <si>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</si>
  <si>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</si>
  <si>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</si>
  <si>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</si>
  <si>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</si>
  <si>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</si>
  <si>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</si>
  <si>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</si>
  <si>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</si>
  <si>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</si>
  <si>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</si>
  <si>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</si>
  <si>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</si>
  <si>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</si>
  <si>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</si>
  <si>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</si>
  <si>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</si>
  <si>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</si>
  <si>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</si>
  <si>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</si>
  <si>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</si>
  <si>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</si>
  <si>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</si>
  <si>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</si>
  <si>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</si>
  <si>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</si>
  <si>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</si>
  <si>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</si>
  <si>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</si>
  <si>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</si>
  <si>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</si>
  <si>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</si>
  <si>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</si>
  <si>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</si>
  <si>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</si>
  <si>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</si>
  <si>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</si>
  <si>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</si>
  <si>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</si>
  <si>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</si>
  <si>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</si>
  <si>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</si>
  <si>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</si>
  <si>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</si>
  <si>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</si>
  <si>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</si>
  <si>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</si>
  <si>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</si>
  <si>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</si>
  <si>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</si>
  <si>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</si>
  <si>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</si>
  <si>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</si>
  <si>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</si>
  <si>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</si>
  <si>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</si>
  <si>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</si>
  <si>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</si>
  <si>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</si>
  <si>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</si>
  <si>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</si>
  <si>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</si>
  <si>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</si>
  <si>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</si>
  <si>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</si>
  <si>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</si>
  <si>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</si>
  <si>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</si>
  <si>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</si>
  <si>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</si>
  <si>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</si>
  <si>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</si>
  <si>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</si>
  <si>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</si>
  <si>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</si>
  <si>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</si>
  <si>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</si>
  <si>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</si>
  <si>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</si>
  <si>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</si>
  <si>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</si>
  <si>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</si>
  <si>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</si>
  <si>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</si>
  <si>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</si>
  <si>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</si>
  <si>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</si>
  <si>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</si>
  <si>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</si>
  <si>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</si>
  <si>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</si>
  <si>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</si>
  <si>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</si>
  <si>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</si>
  <si>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</si>
  <si>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</si>
  <si>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</si>
  <si>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</si>
  <si>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</si>
  <si>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</si>
  <si>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</si>
  <si>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</si>
  <si>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</si>
  <si>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</si>
  <si>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</si>
  <si>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</si>
  <si>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</si>
  <si>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</si>
  <si>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</si>
  <si>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</si>
  <si>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</si>
  <si>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</si>
  <si>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</si>
  <si>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</si>
  <si>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</si>
  <si>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</si>
  <si>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</si>
  <si>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</si>
  <si>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</si>
  <si>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</si>
  <si>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</si>
  <si>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</si>
  <si>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</si>
  <si>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</si>
  <si>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</si>
  <si>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</si>
  <si>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</si>
  <si>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</si>
  <si>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</si>
  <si>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</si>
  <si>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</si>
  <si>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</si>
  <si>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</si>
  <si>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</si>
  <si>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</si>
  <si>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</si>
  <si>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</si>
  <si>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</si>
  <si>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</si>
  <si>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</si>
  <si>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</si>
  <si>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</si>
  <si>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</si>
  <si>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</si>
  <si>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</si>
  <si>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</si>
  <si>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</si>
  <si>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</si>
  <si>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</si>
  <si>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</si>
  <si>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</si>
  <si>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</si>
  <si>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</si>
  <si>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</si>
  <si>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</si>
  <si>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</si>
  <si>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</si>
  <si>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</si>
  <si>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</si>
  <si>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</si>
  <si>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</si>
  <si>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</si>
  <si>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</si>
  <si>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</si>
  <si>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</si>
  <si>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</si>
  <si>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</si>
  <si>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</si>
  <si>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</si>
  <si>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</si>
  <si>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</si>
  <si>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</si>
  <si>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</si>
  <si>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</si>
  <si>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</si>
  <si>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</si>
  <si>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</si>
  <si>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</si>
  <si>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</si>
  <si>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</si>
  <si>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</si>
  <si>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</si>
  <si>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</si>
  <si>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</si>
  <si>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</si>
  <si>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</si>
  <si>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</si>
  <si>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</si>
  <si>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</si>
  <si>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</si>
  <si>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</si>
  <si>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</si>
  <si>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</si>
  <si>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</si>
  <si>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</si>
  <si>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</si>
  <si>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</si>
  <si>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</si>
  <si>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</si>
  <si>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</si>
  <si>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</si>
  <si>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</si>
  <si>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</si>
  <si>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</si>
  <si>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</si>
  <si>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</si>
  <si>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</si>
  <si>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</si>
  <si>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</si>
  <si>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</si>
  <si>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</si>
  <si>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</si>
  <si>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</si>
  <si>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</si>
  <si>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</si>
  <si>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</si>
  <si>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</si>
  <si>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</si>
  <si>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</si>
  <si>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</si>
  <si>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</si>
  <si>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</si>
  <si>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</si>
  <si>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</si>
  <si>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</si>
  <si>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</si>
  <si>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</si>
  <si>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</si>
  <si>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</si>
  <si>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</si>
  <si>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</si>
  <si>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</si>
  <si>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</si>
  <si>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</si>
  <si>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</si>
  <si>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</si>
  <si>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</si>
  <si>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</si>
  <si>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</si>
  <si>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</si>
  <si>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</si>
  <si>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</si>
  <si>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</si>
  <si>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</si>
  <si>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</si>
  <si>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</si>
  <si>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</si>
  <si>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</si>
  <si>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</si>
  <si>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</si>
  <si>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</si>
  <si>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</si>
  <si>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</si>
  <si>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</si>
  <si>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</si>
  <si>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</si>
  <si>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</si>
  <si>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</si>
  <si>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</si>
  <si>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</si>
  <si>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</si>
  <si>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</si>
  <si>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</si>
  <si>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</si>
  <si>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</si>
  <si>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</si>
  <si>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</si>
  <si>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</si>
  <si>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</si>
  <si>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</si>
  <si>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</si>
  <si>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</si>
  <si>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</si>
  <si>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</si>
  <si>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</si>
  <si>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</si>
  <si>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</si>
  <si>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</si>
  <si>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</si>
  <si>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</si>
  <si>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</si>
  <si>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</si>
  <si>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</si>
  <si>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</si>
  <si>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</si>
  <si>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</si>
  <si>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</si>
  <si>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</si>
  <si>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</si>
  <si>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</si>
  <si>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</si>
  <si>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</si>
  <si>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</si>
  <si>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</si>
  <si>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</si>
  <si>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</si>
  <si>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</si>
  <si>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</si>
  <si>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</si>
  <si>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</si>
  <si>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</si>
  <si>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</si>
  <si>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</si>
  <si>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</si>
  <si>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</si>
  <si>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</si>
  <si>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</si>
  <si>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</si>
  <si>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</si>
  <si>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</si>
  <si>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</si>
  <si>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</si>
  <si>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</si>
  <si>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</si>
  <si>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</si>
  <si>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</si>
  <si>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</si>
  <si>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</si>
  <si>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</si>
  <si>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</si>
  <si>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</si>
  <si>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</si>
  <si>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</si>
  <si>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</si>
  <si>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</si>
  <si>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</si>
  <si>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</si>
  <si>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</si>
  <si>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</si>
  <si>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</si>
  <si>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</si>
  <si>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</si>
  <si>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</si>
  <si>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</si>
  <si>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</si>
  <si>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</si>
  <si>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</si>
  <si>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</si>
  <si>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</si>
  <si>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</si>
  <si>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</si>
  <si>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</si>
  <si>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</si>
  <si>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</si>
  <si>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</si>
  <si>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</si>
  <si>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</si>
  <si>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</si>
  <si>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</si>
  <si>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</si>
  <si>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</si>
  <si>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</si>
  <si>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</si>
  <si>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</si>
  <si>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</si>
  <si>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</si>
  <si>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</si>
  <si>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</si>
  <si>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</si>
  <si>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</si>
  <si>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</si>
  <si>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</si>
  <si>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</si>
  <si>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</si>
  <si>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</si>
  <si>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</si>
  <si>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</si>
  <si>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</si>
  <si>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</si>
  <si>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</si>
  <si>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</si>
  <si>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</si>
  <si>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</si>
  <si>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</si>
  <si>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</si>
  <si>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</si>
  <si>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</si>
  <si>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</si>
  <si>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</si>
  <si>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</si>
  <si>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</si>
  <si>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</si>
  <si>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</si>
  <si>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</si>
  <si>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</si>
  <si>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</si>
  <si>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</si>
  <si>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</si>
  <si>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</si>
  <si>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</si>
  <si>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</si>
  <si>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</si>
  <si>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</si>
  <si>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</si>
  <si>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</si>
  <si>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</si>
  <si>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</si>
  <si>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</si>
  <si>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</si>
  <si>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</si>
  <si>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</si>
  <si>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</si>
  <si>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</si>
  <si>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</si>
  <si>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</si>
  <si>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</si>
  <si>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</si>
  <si>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</si>
  <si>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</si>
  <si>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</si>
  <si>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</si>
  <si>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</si>
  <si>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</si>
  <si>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</si>
  <si>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</si>
  <si>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</si>
  <si>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</si>
  <si>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</si>
  <si>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</si>
  <si>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</si>
  <si>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</si>
  <si>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</si>
  <si>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</si>
  <si>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</si>
  <si>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</si>
  <si>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</si>
  <si>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</si>
  <si>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</si>
  <si>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</si>
  <si>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</si>
  <si>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</si>
  <si>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</si>
  <si>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</si>
  <si>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</si>
  <si>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</si>
  <si>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</si>
  <si>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</si>
  <si>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</si>
  <si>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</si>
  <si>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</si>
  <si>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</si>
  <si>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</si>
  <si>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</si>
  <si>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</si>
  <si>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</si>
  <si>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</si>
  <si>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</si>
  <si>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</si>
  <si>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</si>
  <si>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</si>
  <si>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</si>
  <si>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</si>
  <si>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</si>
  <si>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</si>
  <si>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</si>
  <si>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</si>
  <si>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</si>
  <si>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</si>
  <si>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</si>
  <si>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</si>
  <si>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</si>
  <si>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</si>
  <si>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</si>
  <si>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</si>
  <si>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</si>
  <si>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</si>
  <si>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</si>
  <si>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</si>
  <si>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</si>
  <si>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</si>
  <si>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</si>
  <si>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</si>
  <si>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</si>
  <si>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</si>
  <si>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</si>
  <si>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</si>
  <si>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</si>
  <si>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</si>
  <si>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</si>
  <si>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</si>
  <si>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</si>
  <si>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</si>
  <si>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</si>
  <si>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</si>
  <si>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</si>
  <si>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</si>
  <si>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</si>
  <si>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</si>
  <si>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</si>
  <si>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</si>
  <si>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</si>
  <si>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</si>
  <si>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</si>
  <si>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</si>
  <si>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</si>
  <si>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</si>
  <si>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</si>
  <si>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</si>
  <si>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</si>
  <si>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</si>
  <si>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</si>
  <si>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</si>
  <si>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</si>
  <si>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</si>
  <si>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</si>
  <si>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</si>
  <si>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</si>
  <si>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</si>
  <si>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</si>
  <si>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</si>
  <si>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</si>
  <si>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</si>
  <si>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</si>
  <si>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</si>
  <si>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</si>
  <si>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</si>
  <si>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</si>
  <si>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</si>
  <si>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</si>
  <si>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</si>
  <si>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</si>
  <si>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</si>
  <si>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</si>
  <si>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</si>
  <si>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</si>
  <si>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</si>
  <si>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</si>
  <si>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</si>
  <si>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</si>
  <si>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</si>
  <si>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</si>
  <si>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</si>
  <si>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</si>
  <si>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</si>
  <si>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</si>
  <si>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</si>
  <si>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</si>
  <si>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</si>
  <si>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</si>
  <si>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</si>
  <si>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</si>
  <si>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</si>
  <si>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</si>
  <si>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</si>
  <si>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</si>
  <si>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</si>
  <si>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</si>
  <si>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</si>
  <si>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</si>
  <si>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</si>
  <si>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</si>
  <si>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</si>
  <si>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</si>
  <si>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</si>
  <si>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</si>
  <si>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</si>
  <si>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</si>
  <si>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</si>
  <si>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</si>
  <si>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</si>
  <si>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</si>
  <si>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</si>
  <si>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</si>
  <si>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</si>
  <si>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</si>
  <si>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</si>
  <si>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</si>
  <si>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</si>
  <si>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</si>
  <si>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</si>
  <si>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</si>
  <si>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</si>
  <si>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</si>
  <si>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</si>
  <si>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</si>
  <si>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</si>
  <si>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</si>
  <si>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</si>
  <si>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</si>
  <si>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</si>
  <si>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</si>
  <si>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</si>
  <si>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</si>
  <si>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</si>
  <si>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</si>
  <si>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</si>
  <si>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</si>
  <si>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</si>
  <si>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</si>
  <si>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</si>
  <si>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</si>
  <si>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</si>
  <si>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</si>
  <si>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</si>
  <si>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</si>
  <si>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</si>
  <si>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</si>
  <si>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</si>
  <si>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</si>
  <si>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</si>
  <si>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</si>
  <si>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</si>
  <si>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</si>
  <si>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</si>
  <si>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</si>
  <si>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</si>
  <si>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</si>
  <si>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</si>
  <si>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</si>
  <si>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</si>
  <si>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</si>
  <si>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</si>
  <si>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</si>
  <si>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</si>
  <si>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</si>
  <si>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</si>
  <si>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</si>
  <si>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</si>
  <si>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</si>
  <si>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</si>
  <si>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</si>
  <si>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</si>
  <si>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7/99</t>
  </si>
  <si>
    <t>08/19</t>
  </si>
  <si>
    <t>7/10</t>
  </si>
  <si>
    <t>08/39</t>
  </si>
  <si>
    <t>KEENE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</si>
</sst>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A645" sqref="A64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279</v>
      </c>
      <c r="C2" s="21">
        <v>279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3407126.58+900-1000676.88</f>
        <v>2407349.7000000002</v>
      </c>
      <c r="G9" s="18">
        <f>484770.81+300</f>
        <v>485070.81</v>
      </c>
      <c r="H9" s="18">
        <f>18935.03+215699.81+1059.22+94174.07</f>
        <v>329868.13</v>
      </c>
      <c r="I9" s="18">
        <v>93588</v>
      </c>
      <c r="J9" s="67">
        <f>SUM(I439)</f>
        <v>698687.1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357945.48</v>
      </c>
      <c r="G12" s="18"/>
      <c r="H12" s="18">
        <v>396188.91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381273.77</v>
      </c>
      <c r="G13" s="18">
        <v>45268.63</v>
      </c>
      <c r="H13" s="18">
        <f>2454.98+470</f>
        <v>2924.98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15643.54</v>
      </c>
      <c r="G14" s="18">
        <v>3639.19</v>
      </c>
      <c r="H14" s="18">
        <f>9516.16+202</f>
        <v>9718.16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>
        <f>1150+19771.91</f>
        <v>20921.91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3162212.49</v>
      </c>
      <c r="G19" s="41">
        <f>SUM(G9:G18)</f>
        <v>533978.62999999989</v>
      </c>
      <c r="H19" s="41">
        <f>SUM(H9:H18)</f>
        <v>759622.09000000008</v>
      </c>
      <c r="I19" s="41">
        <f>SUM(I9:I18)</f>
        <v>93588</v>
      </c>
      <c r="J19" s="41">
        <f>SUM(J9:J18)</f>
        <v>698687.1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357945.48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22367.27</v>
      </c>
      <c r="G23" s="18"/>
      <c r="H23" s="18">
        <f>837.18</f>
        <v>837.18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509462.97</v>
      </c>
      <c r="G24" s="18">
        <v>335.31</v>
      </c>
      <c r="H24" s="18">
        <f>35039.2+16583.17+173.04+1072.85</f>
        <v>52868.259999999995</v>
      </c>
      <c r="I24" s="18">
        <v>44388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201210.47</v>
      </c>
      <c r="G28" s="18"/>
      <c r="H28" s="18">
        <f>3517.05</f>
        <v>3517.05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29552.51</v>
      </c>
      <c r="H30" s="18">
        <v>73697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733040.71</v>
      </c>
      <c r="G32" s="41">
        <f>SUM(G22:G31)</f>
        <v>29887.82</v>
      </c>
      <c r="H32" s="41">
        <f>SUM(H22:H31)</f>
        <v>488864.97</v>
      </c>
      <c r="I32" s="41">
        <f>SUM(I22:I31)</f>
        <v>44388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>
        <f>19771.91</f>
        <v>19771.91</v>
      </c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>
        <v>49200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504090.81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>
        <f>14323+142775.28</f>
        <v>157098.28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53710.89</v>
      </c>
      <c r="G45" s="18"/>
      <c r="H45" s="18">
        <f>113.71</f>
        <v>113.71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93773.22</v>
      </c>
      <c r="I48" s="18"/>
      <c r="J48" s="13">
        <f>SUM(I459)</f>
        <v>698687.1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2275460.89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2429171.7800000003</v>
      </c>
      <c r="G51" s="41">
        <f>SUM(G35:G50)</f>
        <v>504090.81</v>
      </c>
      <c r="H51" s="41">
        <f>SUM(H35:H50)</f>
        <v>270757.12</v>
      </c>
      <c r="I51" s="41">
        <f>SUM(I35:I50)</f>
        <v>49200</v>
      </c>
      <c r="J51" s="41">
        <f>SUM(J35:J50)</f>
        <v>698687.1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3162212.49</v>
      </c>
      <c r="G52" s="41">
        <f>G51+G32</f>
        <v>533978.63</v>
      </c>
      <c r="H52" s="41">
        <f>H51+H32</f>
        <v>759622.09</v>
      </c>
      <c r="I52" s="41">
        <f>I51+I32</f>
        <v>93588</v>
      </c>
      <c r="J52" s="41">
        <f>J51+J32</f>
        <v>698687.1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30997133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30997133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126806.43</v>
      </c>
      <c r="G63" s="24" t="s">
        <v>286</v>
      </c>
      <c r="H63" s="18">
        <f>145750.25+19610</f>
        <v>165360.25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>
        <f>12380</f>
        <v>12380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>
        <v>226157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>
        <v>80035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8204821.5800000001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3607766.71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110626.94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12050021.659999998</v>
      </c>
      <c r="G79" s="45" t="s">
        <v>286</v>
      </c>
      <c r="H79" s="41">
        <f>SUM(H63:H78)</f>
        <v>483932.25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10286.52</v>
      </c>
      <c r="G96" s="18"/>
      <c r="H96" s="18"/>
      <c r="I96" s="18"/>
      <c r="J96" s="18">
        <v>8364.6200000000008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278496.86+39610.7+453759.93+25470.5+3307.82</f>
        <v>800645.80999999994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2060.59</v>
      </c>
      <c r="G98" s="24" t="s">
        <v>286</v>
      </c>
      <c r="H98" s="18">
        <f>27627.84+447.25+8045.5+153+55231.99+1558+3964</f>
        <v>97027.579999999987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38387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211618.11+10782.5</f>
        <v>222400.61</v>
      </c>
      <c r="I102" s="18">
        <v>49200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>
        <v>3900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145847.10999999999</v>
      </c>
      <c r="G105" s="18"/>
      <c r="H105" s="18">
        <v>58904.99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13210.01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116514.5+69976.17</f>
        <v>186490.66999999998</v>
      </c>
      <c r="G110" s="18">
        <v>21825</v>
      </c>
      <c r="H110" s="18">
        <v>70627.88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396281.89999999997</v>
      </c>
      <c r="G111" s="41">
        <f>SUM(G96:G110)</f>
        <v>822470.80999999994</v>
      </c>
      <c r="H111" s="41">
        <f>SUM(H96:H110)</f>
        <v>452861.05999999994</v>
      </c>
      <c r="I111" s="41">
        <f>SUM(I96:I110)</f>
        <v>49200</v>
      </c>
      <c r="J111" s="41">
        <f>SUM(J96:J110)</f>
        <v>8364.6200000000008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43443436.559999995</v>
      </c>
      <c r="G112" s="41">
        <f>G60+G111</f>
        <v>822470.80999999994</v>
      </c>
      <c r="H112" s="41">
        <f>H60+H79+H94+H111</f>
        <v>936793.30999999994</v>
      </c>
      <c r="I112" s="41">
        <f>I60+I111</f>
        <v>49200</v>
      </c>
      <c r="J112" s="41">
        <f>J60+J111</f>
        <v>8364.6200000000008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10488927.43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4046103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24937.82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14559968.25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1520236.95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729739.52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182394.93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2061.6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13895.97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2434433</v>
      </c>
      <c r="G136" s="41">
        <f>SUM(G123:G135)</f>
        <v>13895.97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16994401.25</v>
      </c>
      <c r="G140" s="41">
        <f>G121+SUM(G136:G137)</f>
        <v>13895.97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808082.57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244945.95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281624.49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191973.01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708630.64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713304.48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623698.03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623698.03</v>
      </c>
      <c r="G162" s="41">
        <f>SUM(G150:G161)</f>
        <v>708630.64</v>
      </c>
      <c r="H162" s="41">
        <f>SUM(H150:H161)</f>
        <v>2239930.5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623698.03</v>
      </c>
      <c r="G169" s="41">
        <f>G147+G162+SUM(G163:G168)</f>
        <v>708630.64</v>
      </c>
      <c r="H169" s="41">
        <f>H147+H162+SUM(H163:H168)</f>
        <v>2239930.5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>
        <v>44388</v>
      </c>
      <c r="J179" s="18">
        <v>100001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44388</v>
      </c>
      <c r="J183" s="41">
        <f>SUM(J179:J182)</f>
        <v>100001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44388</v>
      </c>
      <c r="J192" s="41">
        <f>J183</f>
        <v>100001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61061535.839999996</v>
      </c>
      <c r="G193" s="47">
        <f>G112+G140+G169+G192</f>
        <v>1544997.42</v>
      </c>
      <c r="H193" s="47">
        <f>H112+H140+H169+H192</f>
        <v>3176723.81</v>
      </c>
      <c r="I193" s="47">
        <f>I112+I140+I169+I192</f>
        <v>93588</v>
      </c>
      <c r="J193" s="47">
        <f>J112+J140+J192</f>
        <v>108365.62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5218022.66</v>
      </c>
      <c r="G197" s="18">
        <v>2518002.86</v>
      </c>
      <c r="H197" s="18">
        <v>3661.3</v>
      </c>
      <c r="I197" s="18">
        <v>210115.43</v>
      </c>
      <c r="J197" s="18">
        <v>33733.129999999997</v>
      </c>
      <c r="K197" s="18">
        <v>13685.87</v>
      </c>
      <c r="L197" s="19">
        <f>SUM(F197:K197)</f>
        <v>7997221.2499999991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3036305.2+123168.27</f>
        <v>3159473.47</v>
      </c>
      <c r="G198" s="18">
        <f>1202477.33+54596.68</f>
        <v>1257074.01</v>
      </c>
      <c r="H198" s="18">
        <f>336309.92+483.33</f>
        <v>336793.25</v>
      </c>
      <c r="I198" s="18">
        <f>18966.07+1124.2</f>
        <v>20090.27</v>
      </c>
      <c r="J198" s="18">
        <v>997.32</v>
      </c>
      <c r="K198" s="18"/>
      <c r="L198" s="19">
        <f>SUM(F198:K198)</f>
        <v>4774428.32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5729.48+25000</f>
        <v>30729.48</v>
      </c>
      <c r="G200" s="18">
        <f>1381.88+4255.49</f>
        <v>5637.37</v>
      </c>
      <c r="H200" s="18">
        <v>200</v>
      </c>
      <c r="I200" s="18">
        <v>87.47</v>
      </c>
      <c r="J200" s="18"/>
      <c r="K200" s="18">
        <v>150</v>
      </c>
      <c r="L200" s="19">
        <f>SUM(F200:K200)</f>
        <v>36804.32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17647.03+265950.11+254320.17+293750.17+603304.65+57360.96+264177.49</f>
        <v>1756510.5799999998</v>
      </c>
      <c r="G202" s="18">
        <f>1415.23+139996.43+121579.47+137196.45+273212.92+13984.42+125653.03</f>
        <v>813037.95000000007</v>
      </c>
      <c r="H202" s="18">
        <f>9400.51+85.57+3600+1837.5+16109.44+2814.68+2646.5</f>
        <v>36494.199999999997</v>
      </c>
      <c r="I202" s="18">
        <f>134.8+1418.15+1582+1413.45+831</f>
        <v>5379.4</v>
      </c>
      <c r="J202" s="18"/>
      <c r="K202" s="18"/>
      <c r="L202" s="19">
        <f t="shared" ref="L202:L208" si="0">SUM(F202:K202)</f>
        <v>2611422.13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6185+25275+18003.81+197287.48</f>
        <v>246751.29</v>
      </c>
      <c r="G203" s="18">
        <f>1535.92+6408.78+34648+95315.12</f>
        <v>137907.82</v>
      </c>
      <c r="H203" s="18">
        <f>66478.48+2508.07+23916.27</f>
        <v>92902.82</v>
      </c>
      <c r="I203" s="18">
        <f>9978.46+22672.94+3032.58</f>
        <v>35683.979999999996</v>
      </c>
      <c r="J203" s="18">
        <v>2003.86</v>
      </c>
      <c r="K203" s="18">
        <v>150</v>
      </c>
      <c r="L203" s="19">
        <f t="shared" si="0"/>
        <v>515399.76999999996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7785.24+185+2035+1603.33+217708.7</f>
        <v>229317.27000000002</v>
      </c>
      <c r="G204" s="18">
        <f>9558.9+617.87+14.83+161.32+128.62+112197.05+6260.96</f>
        <v>128939.55</v>
      </c>
      <c r="H204" s="18">
        <f>56.61+5964.4+49225.53+740304.88+8168.76</f>
        <v>803720.18</v>
      </c>
      <c r="I204" s="18">
        <f>6752.81+739.9</f>
        <v>7492.71</v>
      </c>
      <c r="J204" s="18"/>
      <c r="K204" s="18">
        <f>5050.94+5540.04+509.5</f>
        <v>11100.48</v>
      </c>
      <c r="L204" s="19">
        <f t="shared" si="0"/>
        <v>1180570.19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709175.35</v>
      </c>
      <c r="G205" s="18">
        <v>300813.5</v>
      </c>
      <c r="H205" s="18">
        <v>28995.040000000001</v>
      </c>
      <c r="I205" s="18">
        <v>2352.73</v>
      </c>
      <c r="J205" s="18"/>
      <c r="K205" s="18">
        <v>2234.5</v>
      </c>
      <c r="L205" s="19">
        <f t="shared" si="0"/>
        <v>1043571.12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>
        <v>7397.04</v>
      </c>
      <c r="I206" s="18"/>
      <c r="J206" s="18"/>
      <c r="K206" s="18"/>
      <c r="L206" s="19">
        <f t="shared" si="0"/>
        <v>7397.04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552978.17+1531.25</f>
        <v>554509.42000000004</v>
      </c>
      <c r="G207" s="18">
        <f>304276.37+117.15</f>
        <v>304393.52</v>
      </c>
      <c r="H207" s="18">
        <f>284219.21+26266.53</f>
        <v>310485.74</v>
      </c>
      <c r="I207" s="18">
        <v>316096.40999999997</v>
      </c>
      <c r="J207" s="18">
        <v>26536.04</v>
      </c>
      <c r="K207" s="18">
        <v>4231.5200000000004</v>
      </c>
      <c r="L207" s="19">
        <f t="shared" si="0"/>
        <v>1516252.6500000001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332388.37+405425.19+16740.43</f>
        <v>754553.99000000011</v>
      </c>
      <c r="I208" s="18"/>
      <c r="J208" s="18"/>
      <c r="K208" s="18"/>
      <c r="L208" s="19">
        <f t="shared" si="0"/>
        <v>754553.99000000011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f>6793.23+6086.53+5834.88</f>
        <v>18714.64</v>
      </c>
      <c r="I209" s="18">
        <v>86476.66</v>
      </c>
      <c r="J209" s="18">
        <v>239140.28</v>
      </c>
      <c r="K209" s="18"/>
      <c r="L209" s="19">
        <f>SUM(F209:K209)</f>
        <v>344331.58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11904489.52</v>
      </c>
      <c r="G211" s="41">
        <f t="shared" si="1"/>
        <v>5465806.5800000001</v>
      </c>
      <c r="H211" s="41">
        <f t="shared" si="1"/>
        <v>2393918.2000000002</v>
      </c>
      <c r="I211" s="41">
        <f t="shared" si="1"/>
        <v>683775.05999999994</v>
      </c>
      <c r="J211" s="41">
        <f t="shared" si="1"/>
        <v>302410.63</v>
      </c>
      <c r="K211" s="41">
        <f t="shared" si="1"/>
        <v>31552.37</v>
      </c>
      <c r="L211" s="41">
        <f t="shared" si="1"/>
        <v>20781952.359999996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2805721.48</v>
      </c>
      <c r="G215" s="18">
        <v>1354909.28</v>
      </c>
      <c r="H215" s="18">
        <v>3975.5</v>
      </c>
      <c r="I215" s="18">
        <v>66367.61</v>
      </c>
      <c r="J215" s="18">
        <v>10787.28</v>
      </c>
      <c r="K215" s="18">
        <v>86</v>
      </c>
      <c r="L215" s="19">
        <f>SUM(F215:K215)</f>
        <v>4241847.1500000004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1077196.43+43000.1</f>
        <v>1120196.53</v>
      </c>
      <c r="G216" s="18">
        <f>534532.71+30971.13</f>
        <v>565503.84</v>
      </c>
      <c r="H216" s="18">
        <f>468815.7</f>
        <v>468815.7</v>
      </c>
      <c r="I216" s="18">
        <v>9977.49</v>
      </c>
      <c r="J216" s="18">
        <v>5178.08</v>
      </c>
      <c r="K216" s="18"/>
      <c r="L216" s="19">
        <f>SUM(F216:K216)</f>
        <v>2169671.6400000006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39466.5+39226.92+5150</f>
        <v>83843.42</v>
      </c>
      <c r="G218" s="18">
        <f>8952.48+7247.04+1127.56</f>
        <v>17327.080000000002</v>
      </c>
      <c r="H218" s="18">
        <f>4200+8880.5</f>
        <v>13080.5</v>
      </c>
      <c r="I218" s="18">
        <f>4090.33+8724.29</f>
        <v>12814.62</v>
      </c>
      <c r="J218" s="18"/>
      <c r="K218" s="18">
        <f>1010+3056</f>
        <v>4066</v>
      </c>
      <c r="L218" s="19">
        <f>SUM(F218:K218)</f>
        <v>131131.62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213814.2+49725.03+154529.47+61279.92+16800+45999.98</f>
        <v>542148.6</v>
      </c>
      <c r="G220" s="18">
        <f>100738.06+39408.16+74600.76+35318.62+1347.25+11953.29</f>
        <v>263366.13999999996</v>
      </c>
      <c r="H220" s="18">
        <f>5081.36+47.08+300+650+2400+158</f>
        <v>8636.4399999999987</v>
      </c>
      <c r="I220" s="18">
        <f>443.11+2170.33+2264.89+1400.87+145.12</f>
        <v>6424.32</v>
      </c>
      <c r="J220" s="18">
        <v>194.62</v>
      </c>
      <c r="K220" s="18">
        <f>279+45</f>
        <v>324</v>
      </c>
      <c r="L220" s="19">
        <f t="shared" ref="L220:L226" si="2">SUM(F220:K220)</f>
        <v>821094.11999999988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2600+4275+14046.5+92959.18</f>
        <v>113880.68</v>
      </c>
      <c r="G221" s="18">
        <f>642.52+1085+19797.81+38854.7</f>
        <v>60380.03</v>
      </c>
      <c r="H221" s="18">
        <f>12806.93+220+189+1262.71</f>
        <v>14478.64</v>
      </c>
      <c r="I221" s="18">
        <f>288.89+20967.47+8964.49</f>
        <v>30220.85</v>
      </c>
      <c r="J221" s="18">
        <v>8168.18</v>
      </c>
      <c r="K221" s="18">
        <f>1787+375</f>
        <v>2162</v>
      </c>
      <c r="L221" s="19">
        <f t="shared" si="2"/>
        <v>229290.37999999998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4208.3+100+1100+866.67+99374.97</f>
        <v>105649.94</v>
      </c>
      <c r="G222" s="18">
        <f>4442.4+334.07+8.02+87.22+69.51+48547.31+3384.3</f>
        <v>56872.83</v>
      </c>
      <c r="H222" s="18">
        <f>30.6+3224+28521.91+400164.8+1820</f>
        <v>433761.31</v>
      </c>
      <c r="I222" s="18">
        <v>3654.4</v>
      </c>
      <c r="J222" s="18"/>
      <c r="K222" s="18">
        <f>2270.07+2503.91+275.4</f>
        <v>5049.3799999999992</v>
      </c>
      <c r="L222" s="19">
        <f t="shared" si="2"/>
        <v>604987.8600000001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314361.12</v>
      </c>
      <c r="G223" s="18">
        <v>141135.59</v>
      </c>
      <c r="H223" s="18">
        <f>23414.45+500</f>
        <v>23914.45</v>
      </c>
      <c r="I223" s="18"/>
      <c r="J223" s="18"/>
      <c r="K223" s="18">
        <v>3088.97</v>
      </c>
      <c r="L223" s="19">
        <f t="shared" si="2"/>
        <v>482500.12999999995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>
        <v>3998.4</v>
      </c>
      <c r="I224" s="18"/>
      <c r="J224" s="18"/>
      <c r="K224" s="18"/>
      <c r="L224" s="19">
        <f t="shared" si="2"/>
        <v>3998.4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336668.29+908.68</f>
        <v>337576.97</v>
      </c>
      <c r="G225" s="18">
        <f>157381.22+197.8</f>
        <v>157579.01999999999</v>
      </c>
      <c r="H225" s="18">
        <f>125003.55+296</f>
        <v>125299.55</v>
      </c>
      <c r="I225" s="18">
        <v>225307.42</v>
      </c>
      <c r="J225" s="18">
        <v>8531.18</v>
      </c>
      <c r="K225" s="18">
        <v>2349.08</v>
      </c>
      <c r="L225" s="19">
        <f t="shared" si="2"/>
        <v>856643.22000000009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3020.52</v>
      </c>
      <c r="G226" s="18">
        <v>419.96</v>
      </c>
      <c r="H226" s="18">
        <f>171296.05+172335.93+21317.58+10547.86</f>
        <v>375497.42</v>
      </c>
      <c r="I226" s="18"/>
      <c r="J226" s="18"/>
      <c r="K226" s="18"/>
      <c r="L226" s="19">
        <f t="shared" si="2"/>
        <v>378937.89999999997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f>669.23+3365+2954.77</f>
        <v>6989</v>
      </c>
      <c r="I227" s="18">
        <v>53955.41</v>
      </c>
      <c r="J227" s="18">
        <v>117795.78</v>
      </c>
      <c r="K227" s="18"/>
      <c r="L227" s="19">
        <f>SUM(F227:K227)</f>
        <v>178740.19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5426399.2599999988</v>
      </c>
      <c r="G229" s="41">
        <f>SUM(G215:G228)</f>
        <v>2617493.77</v>
      </c>
      <c r="H229" s="41">
        <f>SUM(H215:H228)</f>
        <v>1478446.91</v>
      </c>
      <c r="I229" s="41">
        <f>SUM(I215:I228)</f>
        <v>408722.12</v>
      </c>
      <c r="J229" s="41">
        <f>SUM(J215:J228)</f>
        <v>150655.12</v>
      </c>
      <c r="K229" s="41">
        <f t="shared" si="3"/>
        <v>17125.43</v>
      </c>
      <c r="L229" s="41">
        <f t="shared" si="3"/>
        <v>10098842.610000003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5493438.7599999998</v>
      </c>
      <c r="G233" s="18">
        <v>2694420.62</v>
      </c>
      <c r="H233" s="18">
        <v>32116.25</v>
      </c>
      <c r="I233" s="18">
        <v>205988.44</v>
      </c>
      <c r="J233" s="18">
        <v>54889.120000000003</v>
      </c>
      <c r="K233" s="18">
        <v>1556.94</v>
      </c>
      <c r="L233" s="19">
        <f>SUM(F233:K233)</f>
        <v>8482410.129999999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1705818.74</v>
      </c>
      <c r="G234" s="18">
        <v>795879.48</v>
      </c>
      <c r="H234" s="18">
        <v>2497872.2599999998</v>
      </c>
      <c r="I234" s="18">
        <v>13269</v>
      </c>
      <c r="J234" s="18">
        <v>9127.2999999999993</v>
      </c>
      <c r="K234" s="18">
        <v>10321.5</v>
      </c>
      <c r="L234" s="19">
        <f>SUM(F234:K234)</f>
        <v>5032288.2799999993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794176.04</v>
      </c>
      <c r="G235" s="18">
        <v>383667.46</v>
      </c>
      <c r="H235" s="18">
        <v>18805.22</v>
      </c>
      <c r="I235" s="18">
        <v>50720.53</v>
      </c>
      <c r="J235" s="18">
        <v>21914.12</v>
      </c>
      <c r="K235" s="18"/>
      <c r="L235" s="19">
        <f>SUM(F235:K235)</f>
        <v>1269283.3700000001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62598.5+294091.24+4100</f>
        <v>360789.74</v>
      </c>
      <c r="G236" s="18">
        <f>13501.17+88266.94+1066.14</f>
        <v>102834.25</v>
      </c>
      <c r="H236" s="18">
        <f>3481.5+125202.83+262.96</f>
        <v>128947.29000000001</v>
      </c>
      <c r="I236" s="18">
        <f>2545.41+27160.52</f>
        <v>29705.93</v>
      </c>
      <c r="J236" s="18">
        <f>20275.87+1310.97</f>
        <v>21586.84</v>
      </c>
      <c r="K236" s="18"/>
      <c r="L236" s="19">
        <f>SUM(F236:K236)</f>
        <v>643864.05000000005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424823.95+148681.37+90727.43+46727.91+25658.35+250822.24</f>
        <v>987441.25</v>
      </c>
      <c r="G238" s="18">
        <f>201215.8+65135.78+23025.05+21063.76+2057.65+93779.84</f>
        <v>406277.88</v>
      </c>
      <c r="H238" s="18">
        <f>10924.92+73.63+3171.37+28843.46+25556.31+600.3</f>
        <v>69169.990000000005</v>
      </c>
      <c r="I238" s="18">
        <f>630.19+2416.27+1138.84+354.63</f>
        <v>4539.93</v>
      </c>
      <c r="J238" s="18"/>
      <c r="K238" s="18">
        <f>129+90</f>
        <v>219</v>
      </c>
      <c r="L238" s="19">
        <f t="shared" ref="L238:L244" si="4">SUM(F238:K238)</f>
        <v>1467648.0499999998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5465+22925+18002.32+135417.96</f>
        <v>181810.28</v>
      </c>
      <c r="G239" s="18">
        <f>1344.71+5734.54+39361.24+45367.42</f>
        <v>91807.91</v>
      </c>
      <c r="H239" s="18">
        <f>45740.53+499+462.31</f>
        <v>46701.84</v>
      </c>
      <c r="I239" s="18">
        <f>1046.82+49384.81</f>
        <v>50431.63</v>
      </c>
      <c r="J239" s="18">
        <v>5029.7700000000004</v>
      </c>
      <c r="K239" s="18">
        <f>1937.47+251</f>
        <v>2188.4700000000003</v>
      </c>
      <c r="L239" s="19">
        <f t="shared" si="4"/>
        <v>377969.9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9047.96+215+2365+1863.34+135536.94</f>
        <v>149028.24</v>
      </c>
      <c r="G240" s="18">
        <f>11539.8+718.49+17.25+187.49+149.4+70501.15+7276.24</f>
        <v>90389.819999999992</v>
      </c>
      <c r="H240" s="18">
        <f>65.79+6931.6+60763.1+860354.32+3913</f>
        <v>932027.80999999994</v>
      </c>
      <c r="I240" s="18">
        <v>7906.95</v>
      </c>
      <c r="J240" s="18"/>
      <c r="K240" s="18">
        <f>5545.44+5392.76+592.1</f>
        <v>11530.300000000001</v>
      </c>
      <c r="L240" s="19">
        <f t="shared" si="4"/>
        <v>1190883.1199999999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912462.85</v>
      </c>
      <c r="G241" s="18">
        <v>402898.47</v>
      </c>
      <c r="H241" s="18">
        <f>92177.8+500</f>
        <v>92677.8</v>
      </c>
      <c r="I241" s="18">
        <f>12554.68+15509.73</f>
        <v>28064.41</v>
      </c>
      <c r="J241" s="18">
        <v>11056.03</v>
      </c>
      <c r="K241" s="18">
        <v>7751.76</v>
      </c>
      <c r="L241" s="19">
        <f t="shared" si="4"/>
        <v>1454911.3199999998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>
        <v>8596.56</v>
      </c>
      <c r="I242" s="18"/>
      <c r="J242" s="18"/>
      <c r="K242" s="18"/>
      <c r="L242" s="19">
        <f t="shared" si="4"/>
        <v>8596.56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609366.61+137788.75+8631.35+1339.36</f>
        <v>757126.07</v>
      </c>
      <c r="G243" s="18">
        <f>288513.11+86467.08+937.53+301.93</f>
        <v>376219.65</v>
      </c>
      <c r="H243" s="18">
        <f>343798.84+127780.98+92098+1258</f>
        <v>564935.82000000007</v>
      </c>
      <c r="I243" s="18">
        <f>569362.58+21300.14</f>
        <v>590662.72</v>
      </c>
      <c r="J243" s="18">
        <f>53931.36+38452.95</f>
        <v>92384.31</v>
      </c>
      <c r="K243" s="18">
        <v>5233.83</v>
      </c>
      <c r="L243" s="19">
        <f t="shared" si="4"/>
        <v>2386562.4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382966.38+392153.36+1888.55+133104.83+18731.48</f>
        <v>928844.6</v>
      </c>
      <c r="I244" s="18"/>
      <c r="J244" s="18"/>
      <c r="K244" s="18"/>
      <c r="L244" s="19">
        <f t="shared" si="4"/>
        <v>928844.6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157.5</v>
      </c>
      <c r="G245" s="18">
        <v>12.64</v>
      </c>
      <c r="H245" s="18">
        <f>1438.84+7073.47+20382.54</f>
        <v>28894.85</v>
      </c>
      <c r="I245" s="18">
        <v>82689.509999999995</v>
      </c>
      <c r="J245" s="18">
        <v>242065.57</v>
      </c>
      <c r="K245" s="18"/>
      <c r="L245" s="19">
        <f>SUM(F245:K245)</f>
        <v>353820.07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11342249.470000001</v>
      </c>
      <c r="G247" s="41">
        <f t="shared" si="5"/>
        <v>5344408.1800000006</v>
      </c>
      <c r="H247" s="41">
        <f t="shared" si="5"/>
        <v>5349590.2899999991</v>
      </c>
      <c r="I247" s="41">
        <f t="shared" si="5"/>
        <v>1063979.0499999998</v>
      </c>
      <c r="J247" s="41">
        <f t="shared" si="5"/>
        <v>458053.06</v>
      </c>
      <c r="K247" s="41">
        <f t="shared" si="5"/>
        <v>38801.800000000003</v>
      </c>
      <c r="L247" s="41">
        <f t="shared" si="5"/>
        <v>23597081.849999998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2131505.94+15882+321952.81</f>
        <v>2469340.75</v>
      </c>
      <c r="I255" s="18"/>
      <c r="J255" s="18"/>
      <c r="K255" s="18">
        <v>4952.82</v>
      </c>
      <c r="L255" s="19">
        <f t="shared" si="6"/>
        <v>2474293.5699999998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2469340.75</v>
      </c>
      <c r="I256" s="41">
        <f t="shared" si="7"/>
        <v>0</v>
      </c>
      <c r="J256" s="41">
        <f t="shared" si="7"/>
        <v>0</v>
      </c>
      <c r="K256" s="41">
        <f t="shared" si="7"/>
        <v>4952.82</v>
      </c>
      <c r="L256" s="41">
        <f>SUM(F256:K256)</f>
        <v>2474293.5699999998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28673138.25</v>
      </c>
      <c r="G257" s="41">
        <f t="shared" si="8"/>
        <v>13427708.530000001</v>
      </c>
      <c r="H257" s="41">
        <f t="shared" si="8"/>
        <v>11691296.149999999</v>
      </c>
      <c r="I257" s="41">
        <f t="shared" si="8"/>
        <v>2156476.2299999995</v>
      </c>
      <c r="J257" s="41">
        <f t="shared" si="8"/>
        <v>911118.81</v>
      </c>
      <c r="K257" s="41">
        <f t="shared" si="8"/>
        <v>92432.420000000013</v>
      </c>
      <c r="L257" s="41">
        <f t="shared" si="8"/>
        <v>56952170.389999993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2556373.38</v>
      </c>
      <c r="L260" s="19">
        <f>SUM(F260:K260)</f>
        <v>2556373.38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802182.87</v>
      </c>
      <c r="L261" s="19">
        <f>SUM(F261:K261)</f>
        <v>802182.87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44388</v>
      </c>
      <c r="L265" s="19">
        <f t="shared" si="9"/>
        <v>44388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100001</v>
      </c>
      <c r="L266" s="19">
        <f t="shared" si="9"/>
        <v>100001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3502945.25</v>
      </c>
      <c r="L270" s="41">
        <f t="shared" si="9"/>
        <v>3502945.25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28673138.25</v>
      </c>
      <c r="G271" s="42">
        <f t="shared" si="11"/>
        <v>13427708.530000001</v>
      </c>
      <c r="H271" s="42">
        <f t="shared" si="11"/>
        <v>11691296.149999999</v>
      </c>
      <c r="I271" s="42">
        <f t="shared" si="11"/>
        <v>2156476.2299999995</v>
      </c>
      <c r="J271" s="42">
        <f t="shared" si="11"/>
        <v>911118.81</v>
      </c>
      <c r="K271" s="42">
        <f t="shared" si="11"/>
        <v>3595377.67</v>
      </c>
      <c r="L271" s="42">
        <f t="shared" si="11"/>
        <v>60455115.639999993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405257.19</v>
      </c>
      <c r="G276" s="18">
        <v>153819.45000000001</v>
      </c>
      <c r="H276" s="18">
        <v>869.09</v>
      </c>
      <c r="I276" s="18">
        <v>3025.7</v>
      </c>
      <c r="J276" s="18">
        <f>5600+24372.01</f>
        <v>29972.01</v>
      </c>
      <c r="K276" s="18"/>
      <c r="L276" s="19">
        <f>SUM(F276:K276)</f>
        <v>592943.43999999994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75347.44+7333.97</f>
        <v>82681.41</v>
      </c>
      <c r="G277" s="18">
        <f>17324.27+586.95</f>
        <v>17911.22</v>
      </c>
      <c r="H277" s="18"/>
      <c r="I277" s="18">
        <v>14236.67</v>
      </c>
      <c r="J277" s="18">
        <v>3383.79</v>
      </c>
      <c r="K277" s="18"/>
      <c r="L277" s="19">
        <f>SUM(F277:K277)</f>
        <v>118213.09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7954.85</v>
      </c>
      <c r="G279" s="18">
        <v>909.23</v>
      </c>
      <c r="H279" s="18">
        <v>5250</v>
      </c>
      <c r="I279" s="18">
        <f>1341.54+918.86</f>
        <v>2260.4</v>
      </c>
      <c r="J279" s="18"/>
      <c r="K279" s="18">
        <f>1377.58+400</f>
        <v>1777.58</v>
      </c>
      <c r="L279" s="19">
        <f>SUM(F279:K279)</f>
        <v>18152.059999999998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9475+37044.95+54069.53</f>
        <v>100589.48</v>
      </c>
      <c r="G281" s="18">
        <f>759.94+9619.22+4349.46</f>
        <v>14728.619999999999</v>
      </c>
      <c r="H281" s="18">
        <f>616.07+15503.29</f>
        <v>16119.36</v>
      </c>
      <c r="I281" s="18">
        <f>11.98+6624.92</f>
        <v>6636.9</v>
      </c>
      <c r="J281" s="18"/>
      <c r="K281" s="18">
        <v>3372.27</v>
      </c>
      <c r="L281" s="19">
        <f t="shared" ref="L281:L287" si="12">SUM(F281:K281)</f>
        <v>141446.62999999998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5060.18+68263+115920+8658</f>
        <v>197901.18</v>
      </c>
      <c r="G282" s="18">
        <f>1252.19+40391+66730.19+2197.35</f>
        <v>110570.73000000001</v>
      </c>
      <c r="H282" s="18">
        <f>19819.63+53287.76</f>
        <v>73107.39</v>
      </c>
      <c r="I282" s="18">
        <f>719.14</f>
        <v>719.14</v>
      </c>
      <c r="J282" s="18"/>
      <c r="K282" s="18"/>
      <c r="L282" s="19">
        <f t="shared" si="12"/>
        <v>382298.44000000006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53856.68</v>
      </c>
      <c r="G283" s="18">
        <v>28791.119999999999</v>
      </c>
      <c r="H283" s="18">
        <v>1350</v>
      </c>
      <c r="I283" s="18"/>
      <c r="J283" s="18"/>
      <c r="K283" s="18"/>
      <c r="L283" s="19">
        <f t="shared" si="12"/>
        <v>83997.8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42120.59+14680.7</f>
        <v>56801.289999999994</v>
      </c>
      <c r="L285" s="19">
        <f t="shared" si="12"/>
        <v>56801.289999999994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155+4907.4</f>
        <v>5062.3999999999996</v>
      </c>
      <c r="I287" s="18"/>
      <c r="J287" s="18"/>
      <c r="K287" s="18"/>
      <c r="L287" s="19">
        <f t="shared" si="12"/>
        <v>5062.3999999999996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848240.78999999992</v>
      </c>
      <c r="G290" s="42">
        <f t="shared" si="13"/>
        <v>326730.37</v>
      </c>
      <c r="H290" s="42">
        <f t="shared" si="13"/>
        <v>101758.23999999999</v>
      </c>
      <c r="I290" s="42">
        <f t="shared" si="13"/>
        <v>26878.809999999998</v>
      </c>
      <c r="J290" s="42">
        <f t="shared" si="13"/>
        <v>33355.799999999996</v>
      </c>
      <c r="K290" s="42">
        <f t="shared" si="13"/>
        <v>61951.139999999992</v>
      </c>
      <c r="L290" s="41">
        <f t="shared" si="13"/>
        <v>1398915.15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>
        <f>2045.97+13174.06</f>
        <v>15220.029999999999</v>
      </c>
      <c r="K295" s="18"/>
      <c r="L295" s="19">
        <f>SUM(F295:K295)</f>
        <v>15220.029999999999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4680</f>
        <v>4680</v>
      </c>
      <c r="G301" s="18">
        <f>1187.76</f>
        <v>1187.76</v>
      </c>
      <c r="H301" s="18">
        <v>28804.19</v>
      </c>
      <c r="I301" s="18">
        <f>388.72</f>
        <v>388.72</v>
      </c>
      <c r="J301" s="18"/>
      <c r="K301" s="18"/>
      <c r="L301" s="19">
        <f t="shared" si="14"/>
        <v>35060.67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f>7935.51</f>
        <v>7935.51</v>
      </c>
      <c r="L304" s="19">
        <f t="shared" si="14"/>
        <v>7935.51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>
        <v>440.73</v>
      </c>
      <c r="J307" s="18"/>
      <c r="K307" s="18"/>
      <c r="L307" s="19">
        <f>SUM(F307:K307)</f>
        <v>440.73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4680</v>
      </c>
      <c r="G309" s="42">
        <f t="shared" si="15"/>
        <v>1187.76</v>
      </c>
      <c r="H309" s="42">
        <f t="shared" si="15"/>
        <v>28804.19</v>
      </c>
      <c r="I309" s="42">
        <f t="shared" si="15"/>
        <v>829.45</v>
      </c>
      <c r="J309" s="42">
        <f t="shared" si="15"/>
        <v>15220.029999999999</v>
      </c>
      <c r="K309" s="42">
        <f t="shared" si="15"/>
        <v>7935.51</v>
      </c>
      <c r="L309" s="41">
        <f t="shared" si="15"/>
        <v>58656.94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v>198015</v>
      </c>
      <c r="I314" s="18">
        <v>2992.73</v>
      </c>
      <c r="J314" s="18">
        <f>99142.6+28324.22</f>
        <v>127466.82</v>
      </c>
      <c r="K314" s="18"/>
      <c r="L314" s="19">
        <f>SUM(F314:K314)</f>
        <v>328474.55000000005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71284.88</v>
      </c>
      <c r="G315" s="18">
        <v>41233.47</v>
      </c>
      <c r="H315" s="18">
        <v>2040</v>
      </c>
      <c r="I315" s="18"/>
      <c r="J315" s="18"/>
      <c r="K315" s="18">
        <v>2298</v>
      </c>
      <c r="L315" s="19">
        <f>SUM(F315:K315)</f>
        <v>116856.35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14650.32</v>
      </c>
      <c r="G316" s="18">
        <v>1216.6099999999999</v>
      </c>
      <c r="H316" s="18">
        <v>21572.6</v>
      </c>
      <c r="I316" s="18">
        <v>101411.87</v>
      </c>
      <c r="J316" s="18">
        <v>62807.97</v>
      </c>
      <c r="K316" s="18">
        <f>16289.32+5000</f>
        <v>21289.32</v>
      </c>
      <c r="L316" s="19">
        <f>SUM(F316:K316)</f>
        <v>222948.69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f>4145+9891.16</f>
        <v>14036.16</v>
      </c>
      <c r="G317" s="18">
        <f>444.38+2065.93</f>
        <v>2510.31</v>
      </c>
      <c r="H317" s="18">
        <f>1905</f>
        <v>1905</v>
      </c>
      <c r="I317" s="18">
        <v>2974.84</v>
      </c>
      <c r="J317" s="18"/>
      <c r="K317" s="18">
        <v>942.78</v>
      </c>
      <c r="L317" s="19">
        <f>SUM(F317:K317)</f>
        <v>22369.09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47000+1400+49800</f>
        <v>98200</v>
      </c>
      <c r="G319" s="18">
        <f>34476.25+331.84+30060.3</f>
        <v>64868.39</v>
      </c>
      <c r="H319" s="18">
        <f>4137.01+991.7</f>
        <v>5128.71</v>
      </c>
      <c r="I319" s="18"/>
      <c r="J319" s="18">
        <v>600.09</v>
      </c>
      <c r="K319" s="18"/>
      <c r="L319" s="19">
        <f t="shared" ref="L319:L325" si="16">SUM(F319:K319)</f>
        <v>168797.19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9750+532.8+10062</f>
        <v>20344.8</v>
      </c>
      <c r="G320" s="18">
        <f>2474.55+0.09+42.74+2553.67</f>
        <v>5071.05</v>
      </c>
      <c r="H320" s="18">
        <f>14637.15+61929.02</f>
        <v>76566.17</v>
      </c>
      <c r="I320" s="18">
        <f>2700+835.75</f>
        <v>3535.75</v>
      </c>
      <c r="J320" s="18"/>
      <c r="K320" s="18">
        <v>8557.43</v>
      </c>
      <c r="L320" s="19">
        <f t="shared" si="16"/>
        <v>114075.19999999998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>
        <v>32508</v>
      </c>
      <c r="I321" s="18"/>
      <c r="J321" s="18"/>
      <c r="K321" s="18"/>
      <c r="L321" s="19">
        <f t="shared" si="16"/>
        <v>32508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f>12192.15+17061.36+19121.59</f>
        <v>48375.100000000006</v>
      </c>
      <c r="L323" s="19">
        <f t="shared" si="16"/>
        <v>48375.100000000006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5858.3</v>
      </c>
      <c r="G324" s="18">
        <v>449.08</v>
      </c>
      <c r="H324" s="18">
        <f>23589.66+3012</f>
        <v>26601.66</v>
      </c>
      <c r="I324" s="18"/>
      <c r="J324" s="18"/>
      <c r="K324" s="18"/>
      <c r="L324" s="19">
        <f t="shared" si="16"/>
        <v>32909.040000000001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7375.61</v>
      </c>
      <c r="I325" s="18"/>
      <c r="J325" s="18"/>
      <c r="K325" s="18"/>
      <c r="L325" s="19">
        <f t="shared" si="16"/>
        <v>7375.61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224374.46</v>
      </c>
      <c r="G328" s="42">
        <f t="shared" si="17"/>
        <v>115348.91</v>
      </c>
      <c r="H328" s="42">
        <f t="shared" si="17"/>
        <v>371712.74999999994</v>
      </c>
      <c r="I328" s="42">
        <f t="shared" si="17"/>
        <v>110915.18999999999</v>
      </c>
      <c r="J328" s="42">
        <f t="shared" si="17"/>
        <v>190874.88</v>
      </c>
      <c r="K328" s="42">
        <f t="shared" si="17"/>
        <v>81462.63</v>
      </c>
      <c r="L328" s="41">
        <f t="shared" si="17"/>
        <v>1094688.8200000003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306203.28999999998</v>
      </c>
      <c r="G333" s="18">
        <v>87843.35</v>
      </c>
      <c r="H333" s="18">
        <v>29470.47</v>
      </c>
      <c r="I333" s="18">
        <v>39137.980000000003</v>
      </c>
      <c r="J333" s="18">
        <v>9173.39</v>
      </c>
      <c r="K333" s="18">
        <v>11450.04</v>
      </c>
      <c r="L333" s="19">
        <f t="shared" si="18"/>
        <v>483278.51999999996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>
        <v>92635</v>
      </c>
      <c r="I336" s="18"/>
      <c r="J336" s="18"/>
      <c r="K336" s="18"/>
      <c r="L336" s="19">
        <f t="shared" si="18"/>
        <v>92635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306203.28999999998</v>
      </c>
      <c r="G337" s="41">
        <f t="shared" si="19"/>
        <v>87843.35</v>
      </c>
      <c r="H337" s="41">
        <f t="shared" si="19"/>
        <v>122105.47</v>
      </c>
      <c r="I337" s="41">
        <f t="shared" si="19"/>
        <v>39137.980000000003</v>
      </c>
      <c r="J337" s="41">
        <f t="shared" si="19"/>
        <v>9173.39</v>
      </c>
      <c r="K337" s="41">
        <f t="shared" si="19"/>
        <v>11450.04</v>
      </c>
      <c r="L337" s="41">
        <f t="shared" si="18"/>
        <v>575913.52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1383498.54</v>
      </c>
      <c r="G338" s="41">
        <f t="shared" si="20"/>
        <v>531110.39</v>
      </c>
      <c r="H338" s="41">
        <f t="shared" si="20"/>
        <v>624380.64999999991</v>
      </c>
      <c r="I338" s="41">
        <f t="shared" si="20"/>
        <v>177761.43</v>
      </c>
      <c r="J338" s="41">
        <f t="shared" si="20"/>
        <v>248624.09999999998</v>
      </c>
      <c r="K338" s="41">
        <f t="shared" si="20"/>
        <v>162799.32</v>
      </c>
      <c r="L338" s="41">
        <f t="shared" si="20"/>
        <v>3128174.43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1383498.54</v>
      </c>
      <c r="G352" s="41">
        <f>G338</f>
        <v>531110.39</v>
      </c>
      <c r="H352" s="41">
        <f>H338</f>
        <v>624380.64999999991</v>
      </c>
      <c r="I352" s="41">
        <f>I338</f>
        <v>177761.43</v>
      </c>
      <c r="J352" s="41">
        <f>J338</f>
        <v>248624.09999999998</v>
      </c>
      <c r="K352" s="47">
        <f>K338+K351</f>
        <v>162799.32</v>
      </c>
      <c r="L352" s="41">
        <f>L338+L351</f>
        <v>3128174.43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142126.87</v>
      </c>
      <c r="G358" s="18">
        <v>39285.269999999997</v>
      </c>
      <c r="H358" s="18">
        <v>4034.4</v>
      </c>
      <c r="I358" s="18">
        <v>197657.51</v>
      </c>
      <c r="J358" s="18">
        <v>284.98</v>
      </c>
      <c r="K358" s="18"/>
      <c r="L358" s="13">
        <f>SUM(F358:K358)</f>
        <v>383389.02999999997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139881.46</v>
      </c>
      <c r="G359" s="18">
        <v>49176.89</v>
      </c>
      <c r="H359" s="18">
        <v>4188.0200000000004</v>
      </c>
      <c r="I359" s="18">
        <v>178047.73</v>
      </c>
      <c r="J359" s="18"/>
      <c r="K359" s="18"/>
      <c r="L359" s="19">
        <f>SUM(F359:K359)</f>
        <v>371294.1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223368.91</v>
      </c>
      <c r="G360" s="18">
        <v>112426.97</v>
      </c>
      <c r="H360" s="18">
        <v>12692.4</v>
      </c>
      <c r="I360" s="18">
        <v>340953.21</v>
      </c>
      <c r="J360" s="18">
        <v>21711</v>
      </c>
      <c r="K360" s="18">
        <v>1231.76</v>
      </c>
      <c r="L360" s="19">
        <f>SUM(F360:K360)</f>
        <v>712384.25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505377.24</v>
      </c>
      <c r="G362" s="47">
        <f t="shared" si="22"/>
        <v>200889.13</v>
      </c>
      <c r="H362" s="47">
        <f t="shared" si="22"/>
        <v>20914.82</v>
      </c>
      <c r="I362" s="47">
        <f t="shared" si="22"/>
        <v>716658.45</v>
      </c>
      <c r="J362" s="47">
        <f t="shared" si="22"/>
        <v>21995.98</v>
      </c>
      <c r="K362" s="47">
        <f t="shared" si="22"/>
        <v>1231.76</v>
      </c>
      <c r="L362" s="47">
        <f t="shared" si="22"/>
        <v>1467067.38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196778.76</v>
      </c>
      <c r="G367" s="18">
        <f>172082.72+1747.5</f>
        <v>173830.22</v>
      </c>
      <c r="H367" s="18">
        <f>310540.08+3832.5</f>
        <v>314372.58</v>
      </c>
      <c r="I367" s="56">
        <f>SUM(F367:H367)</f>
        <v>684981.56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-403.46+1282.21</f>
        <v>878.75</v>
      </c>
      <c r="G368" s="63">
        <v>4217.51</v>
      </c>
      <c r="H368" s="63">
        <v>26580.63</v>
      </c>
      <c r="I368" s="56">
        <f>SUM(F368:H368)</f>
        <v>31676.89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197657.51</v>
      </c>
      <c r="G369" s="47">
        <f>SUM(G367:G368)</f>
        <v>178047.73</v>
      </c>
      <c r="H369" s="47">
        <f>SUM(H367:H368)</f>
        <v>340953.21</v>
      </c>
      <c r="I369" s="47">
        <f>SUM(I367:I368)</f>
        <v>716658.45000000007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44388</v>
      </c>
      <c r="I379" s="18"/>
      <c r="J379" s="18"/>
      <c r="K379" s="18"/>
      <c r="L379" s="13">
        <f t="shared" si="23"/>
        <v>44388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44388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44388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>
        <v>7384.47</v>
      </c>
      <c r="I396" s="18"/>
      <c r="J396" s="24" t="s">
        <v>286</v>
      </c>
      <c r="K396" s="24" t="s">
        <v>286</v>
      </c>
      <c r="L396" s="56">
        <f t="shared" si="26"/>
        <v>57384.47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897.01</v>
      </c>
      <c r="I397" s="18"/>
      <c r="J397" s="24" t="s">
        <v>286</v>
      </c>
      <c r="K397" s="24" t="s">
        <v>286</v>
      </c>
      <c r="L397" s="56">
        <f t="shared" si="26"/>
        <v>50897.01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1</v>
      </c>
      <c r="H400" s="18">
        <f>83.13+0.01</f>
        <v>83.14</v>
      </c>
      <c r="I400" s="18"/>
      <c r="J400" s="24" t="s">
        <v>286</v>
      </c>
      <c r="K400" s="24" t="s">
        <v>286</v>
      </c>
      <c r="L400" s="56">
        <f t="shared" si="26"/>
        <v>84.14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100001</v>
      </c>
      <c r="H401" s="47">
        <f>SUM(H395:H400)</f>
        <v>8364.619999999999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108365.62000000001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100001</v>
      </c>
      <c r="H408" s="47">
        <f>H393+H401+H407</f>
        <v>8364.619999999999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108365.62000000001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698687.1</v>
      </c>
      <c r="H439" s="18"/>
      <c r="I439" s="56">
        <f t="shared" ref="I439:I445" si="33">SUM(F439:H439)</f>
        <v>698687.1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698687.1</v>
      </c>
      <c r="H446" s="13">
        <f>SUM(H439:H445)</f>
        <v>0</v>
      </c>
      <c r="I446" s="13">
        <f>SUM(I439:I445)</f>
        <v>698687.1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698687.1</v>
      </c>
      <c r="H459" s="18"/>
      <c r="I459" s="56">
        <f t="shared" si="34"/>
        <v>698687.1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698687.1</v>
      </c>
      <c r="H460" s="83">
        <f>SUM(H454:H459)</f>
        <v>0</v>
      </c>
      <c r="I460" s="83">
        <f>SUM(I454:I459)</f>
        <v>698687.1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698687.1</v>
      </c>
      <c r="H461" s="42">
        <f>H452+H460</f>
        <v>0</v>
      </c>
      <c r="I461" s="42">
        <f>I452+I460</f>
        <v>698687.1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1822751.58</v>
      </c>
      <c r="G465" s="18">
        <v>426160.77</v>
      </c>
      <c r="H465" s="18">
        <v>222207.74</v>
      </c>
      <c r="I465" s="18">
        <v>0</v>
      </c>
      <c r="J465" s="18">
        <v>590321.48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61061535.840000004</v>
      </c>
      <c r="G468" s="18">
        <v>1544997.42</v>
      </c>
      <c r="H468" s="18">
        <f>2239930.5+211618.11+514747.24+210427.96</f>
        <v>3176723.8099999996</v>
      </c>
      <c r="I468" s="18">
        <v>93588</v>
      </c>
      <c r="J468" s="18">
        <f>100001+8364.62</f>
        <v>108365.62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61061535.840000004</v>
      </c>
      <c r="G470" s="53">
        <f>SUM(G468:G469)</f>
        <v>1544997.42</v>
      </c>
      <c r="H470" s="53">
        <f>SUM(H468:H469)</f>
        <v>3176723.8099999996</v>
      </c>
      <c r="I470" s="53">
        <f>SUM(I468:I469)</f>
        <v>93588</v>
      </c>
      <c r="J470" s="53">
        <f>SUM(J468:J469)</f>
        <v>108365.62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60455115.640000001</v>
      </c>
      <c r="G472" s="18">
        <v>1467067.38</v>
      </c>
      <c r="H472" s="18">
        <f>2239930.5+214114.25+539342.07+134787.61</f>
        <v>3128174.4299999997</v>
      </c>
      <c r="I472" s="18">
        <v>44388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60455115.640000001</v>
      </c>
      <c r="G474" s="53">
        <f>SUM(G472:G473)</f>
        <v>1467067.38</v>
      </c>
      <c r="H474" s="53">
        <f>SUM(H472:H473)</f>
        <v>3128174.4299999997</v>
      </c>
      <c r="I474" s="53">
        <f>SUM(I472:I473)</f>
        <v>44388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2429171.7800000012</v>
      </c>
      <c r="G476" s="53">
        <f>(G465+G470)- G474</f>
        <v>504090.81000000006</v>
      </c>
      <c r="H476" s="53">
        <f>(H465+H470)- H474</f>
        <v>270757.12000000011</v>
      </c>
      <c r="I476" s="53">
        <f>(I465+I470)- I474</f>
        <v>49200</v>
      </c>
      <c r="J476" s="53">
        <f>(J465+J470)- J474</f>
        <v>698687.1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29</v>
      </c>
      <c r="H490" s="154">
        <v>29</v>
      </c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5" t="s">
        <v>914</v>
      </c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5" t="s">
        <v>915</v>
      </c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17500000</v>
      </c>
      <c r="G493" s="18">
        <v>35115529.659999996</v>
      </c>
      <c r="H493" s="18">
        <v>1817970.34</v>
      </c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5.2</v>
      </c>
      <c r="G494" s="18">
        <v>4.4400000000000004</v>
      </c>
      <c r="H494" s="18">
        <v>4.4400000000000004</v>
      </c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2625000</v>
      </c>
      <c r="G495" s="18">
        <v>22857637.920000002</v>
      </c>
      <c r="H495" s="18">
        <v>1183365.53</v>
      </c>
      <c r="I495" s="18"/>
      <c r="J495" s="18"/>
      <c r="K495" s="53">
        <f>SUM(F495:J495)</f>
        <v>26666003.450000003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875000</v>
      </c>
      <c r="G497" s="18">
        <f>1086034.77+512576.7</f>
        <v>1598611.47</v>
      </c>
      <c r="H497" s="18">
        <f>56225.24+26536.67</f>
        <v>82761.91</v>
      </c>
      <c r="I497" s="18"/>
      <c r="J497" s="18"/>
      <c r="K497" s="53">
        <f t="shared" si="35"/>
        <v>2556373.38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1750000</v>
      </c>
      <c r="G498" s="204">
        <v>21259026.449999999</v>
      </c>
      <c r="H498" s="204">
        <v>1100603.6200000001</v>
      </c>
      <c r="I498" s="204"/>
      <c r="J498" s="204"/>
      <c r="K498" s="205">
        <f t="shared" si="35"/>
        <v>24109630.07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91875</v>
      </c>
      <c r="G499" s="18">
        <v>28247591.690000001</v>
      </c>
      <c r="H499" s="18">
        <v>1462409.49</v>
      </c>
      <c r="I499" s="18"/>
      <c r="J499" s="18"/>
      <c r="K499" s="53">
        <f t="shared" si="35"/>
        <v>29801876.18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1841875</v>
      </c>
      <c r="G500" s="42">
        <f>SUM(G498:G499)</f>
        <v>49506618.140000001</v>
      </c>
      <c r="H500" s="42">
        <f>SUM(H498:H499)</f>
        <v>2563013.1100000003</v>
      </c>
      <c r="I500" s="42">
        <f>SUM(I498:I499)</f>
        <v>0</v>
      </c>
      <c r="J500" s="42">
        <f>SUM(J498:J499)</f>
        <v>0</v>
      </c>
      <c r="K500" s="42">
        <f t="shared" si="35"/>
        <v>53911506.25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875000</v>
      </c>
      <c r="G501" s="204">
        <f>1048608.23+476685.94</f>
        <v>1525294.17</v>
      </c>
      <c r="H501" s="204">
        <f>54287.63+24678.56</f>
        <v>78966.19</v>
      </c>
      <c r="I501" s="204"/>
      <c r="J501" s="204"/>
      <c r="K501" s="205">
        <f t="shared" si="35"/>
        <v>2479260.36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68905.25</v>
      </c>
      <c r="G502" s="18">
        <f>488602.4+238886.81</f>
        <v>727489.21</v>
      </c>
      <c r="H502" s="18">
        <f>25295.49+12367.44</f>
        <v>37662.93</v>
      </c>
      <c r="I502" s="18"/>
      <c r="J502" s="18"/>
      <c r="K502" s="53">
        <f t="shared" si="35"/>
        <v>834057.39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943905.25</v>
      </c>
      <c r="G503" s="42">
        <f>SUM(G501:G502)</f>
        <v>2252783.38</v>
      </c>
      <c r="H503" s="42">
        <f>SUM(H501:H502)</f>
        <v>116629.12</v>
      </c>
      <c r="I503" s="42">
        <f>SUM(I501:I502)</f>
        <v>0</v>
      </c>
      <c r="J503" s="42">
        <f>SUM(J501:J502)</f>
        <v>0</v>
      </c>
      <c r="K503" s="42">
        <f t="shared" si="35"/>
        <v>3313317.75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3111652.64</v>
      </c>
      <c r="G521" s="18">
        <v>1219801.6000000001</v>
      </c>
      <c r="H521" s="18">
        <v>336309.92</v>
      </c>
      <c r="I521" s="18">
        <v>33202.74</v>
      </c>
      <c r="J521" s="18">
        <v>4381.1099999999997</v>
      </c>
      <c r="K521" s="18"/>
      <c r="L521" s="88">
        <f>SUM(F521:K521)</f>
        <v>4705348.0100000007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1077196.43</v>
      </c>
      <c r="G522" s="18">
        <v>534532.71</v>
      </c>
      <c r="H522" s="18">
        <v>468815.7</v>
      </c>
      <c r="I522" s="18">
        <v>9977.49</v>
      </c>
      <c r="J522" s="18"/>
      <c r="K522" s="18"/>
      <c r="L522" s="88">
        <f>SUM(F522:K522)</f>
        <v>2090522.3299999998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1775114.72</v>
      </c>
      <c r="G523" s="18">
        <v>836539.65</v>
      </c>
      <c r="H523" s="18">
        <v>2497872.2599999998</v>
      </c>
      <c r="I523" s="18">
        <v>13269</v>
      </c>
      <c r="J523" s="18"/>
      <c r="K523" s="18"/>
      <c r="L523" s="88">
        <f>SUM(F523:K523)</f>
        <v>5122795.63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5963963.79</v>
      </c>
      <c r="G524" s="108">
        <f t="shared" ref="G524:L524" si="36">SUM(G521:G523)</f>
        <v>2590873.96</v>
      </c>
      <c r="H524" s="108">
        <f t="shared" si="36"/>
        <v>3302997.88</v>
      </c>
      <c r="I524" s="108">
        <f t="shared" si="36"/>
        <v>56449.229999999996</v>
      </c>
      <c r="J524" s="108">
        <f t="shared" si="36"/>
        <v>4381.1099999999997</v>
      </c>
      <c r="K524" s="108">
        <f t="shared" si="36"/>
        <v>0</v>
      </c>
      <c r="L524" s="89">
        <f t="shared" si="36"/>
        <v>11918665.970000001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17647.03+293750.17+603304.65+57360.96+264177.49+2941.43+68263+115920</f>
        <v>1423364.7299999997</v>
      </c>
      <c r="G526" s="18">
        <f>1415.23+137196.45+273212.92+13984.42+125653.03+714.49+40391+66730.19</f>
        <v>659297.73</v>
      </c>
      <c r="H526" s="18">
        <f>2275.5+85.57+3000+16109.44+2814.68+2646.5+15045+12460.18+23205.02</f>
        <v>77641.89</v>
      </c>
      <c r="I526" s="18">
        <f>1418.15+1582+1413.45+1806.02</f>
        <v>6219.6200000000008</v>
      </c>
      <c r="J526" s="18">
        <v>5178.08</v>
      </c>
      <c r="K526" s="18">
        <v>150</v>
      </c>
      <c r="L526" s="88">
        <f>SUM(F526:K526)</f>
        <v>2171852.0499999998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850+154529.47+61279.92+16800+45999.98</f>
        <v>279459.37</v>
      </c>
      <c r="G527" s="18">
        <f>215.7+74600.76+35318.62+1347.25+11953.29</f>
        <v>123435.62</v>
      </c>
      <c r="H527" s="18">
        <f>1230+47.08+650+2400+158+610.9+1262.71</f>
        <v>6358.69</v>
      </c>
      <c r="I527" s="18">
        <f>2264.89+1400.87+145.12</f>
        <v>3810.8799999999997</v>
      </c>
      <c r="J527" s="18"/>
      <c r="K527" s="18"/>
      <c r="L527" s="88">
        <f>SUM(F527:K527)</f>
        <v>413064.56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47000+140527.43+46727.91+25658.35+116796.12</f>
        <v>376709.81</v>
      </c>
      <c r="G528" s="18">
        <f>34476.25+53085.35+21063.76+2057.65+37706.5+0.09</f>
        <v>148389.6</v>
      </c>
      <c r="H528" s="18">
        <f>2644.5+4210.64+25556.31+600.3+4584.99</f>
        <v>37596.74</v>
      </c>
      <c r="I528" s="18">
        <f>1138.84+354.63</f>
        <v>1493.4699999999998</v>
      </c>
      <c r="J528" s="18"/>
      <c r="K528" s="18">
        <v>90</v>
      </c>
      <c r="L528" s="88">
        <f>SUM(F528:K528)</f>
        <v>564279.62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2079533.9099999997</v>
      </c>
      <c r="G529" s="89">
        <f t="shared" ref="G529:L529" si="37">SUM(G526:G528)</f>
        <v>931122.95</v>
      </c>
      <c r="H529" s="89">
        <f t="shared" si="37"/>
        <v>121597.32</v>
      </c>
      <c r="I529" s="89">
        <f t="shared" si="37"/>
        <v>11523.97</v>
      </c>
      <c r="J529" s="89">
        <f t="shared" si="37"/>
        <v>5178.08</v>
      </c>
      <c r="K529" s="89">
        <f t="shared" si="37"/>
        <v>240</v>
      </c>
      <c r="L529" s="89">
        <f t="shared" si="37"/>
        <v>3149196.23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204708.7</v>
      </c>
      <c r="G531" s="18">
        <v>108899.8</v>
      </c>
      <c r="H531" s="18">
        <v>4801.76</v>
      </c>
      <c r="I531" s="18">
        <v>739.9</v>
      </c>
      <c r="J531" s="18">
        <v>9127.2999999999993</v>
      </c>
      <c r="K531" s="18">
        <v>860.27</v>
      </c>
      <c r="L531" s="88">
        <f>SUM(F531:K531)</f>
        <v>329137.73000000004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77899.899999999994</v>
      </c>
      <c r="G532" s="18">
        <v>43096.92</v>
      </c>
      <c r="H532" s="18"/>
      <c r="I532" s="18"/>
      <c r="J532" s="18"/>
      <c r="K532" s="18"/>
      <c r="L532" s="88">
        <f>SUM(F532:K532)</f>
        <v>120996.81999999999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107137.58</v>
      </c>
      <c r="G533" s="18">
        <v>63308.23</v>
      </c>
      <c r="H533" s="18"/>
      <c r="I533" s="18"/>
      <c r="J533" s="18"/>
      <c r="K533" s="18"/>
      <c r="L533" s="88">
        <f>SUM(F533:K533)</f>
        <v>170445.81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389746.18</v>
      </c>
      <c r="G534" s="89">
        <f t="shared" ref="G534:L534" si="38">SUM(G531:G533)</f>
        <v>215304.95</v>
      </c>
      <c r="H534" s="89">
        <f t="shared" si="38"/>
        <v>4801.76</v>
      </c>
      <c r="I534" s="89">
        <f t="shared" si="38"/>
        <v>739.9</v>
      </c>
      <c r="J534" s="89">
        <f t="shared" si="38"/>
        <v>9127.2999999999993</v>
      </c>
      <c r="K534" s="89">
        <f t="shared" si="38"/>
        <v>860.27</v>
      </c>
      <c r="L534" s="89">
        <f t="shared" si="38"/>
        <v>620580.3600000001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5809.18</v>
      </c>
      <c r="I536" s="18"/>
      <c r="J536" s="18"/>
      <c r="K536" s="18"/>
      <c r="L536" s="88">
        <f>SUM(F536:K536)</f>
        <v>5809.18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5053.6000000000004</v>
      </c>
      <c r="I537" s="18"/>
      <c r="J537" s="18"/>
      <c r="K537" s="18"/>
      <c r="L537" s="88">
        <f>SUM(F537:K537)</f>
        <v>5053.6000000000004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10306.209999999999</v>
      </c>
      <c r="I538" s="18"/>
      <c r="J538" s="18"/>
      <c r="K538" s="18"/>
      <c r="L538" s="88">
        <f>SUM(F538:K538)</f>
        <v>10306.209999999999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21168.989999999998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21168.989999999998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405425.19</v>
      </c>
      <c r="I541" s="18"/>
      <c r="J541" s="18"/>
      <c r="K541" s="18"/>
      <c r="L541" s="88">
        <f>SUM(F541:K541)</f>
        <v>405425.19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172335.93</v>
      </c>
      <c r="I542" s="18"/>
      <c r="J542" s="18"/>
      <c r="K542" s="18"/>
      <c r="L542" s="88">
        <f>SUM(F542:K542)</f>
        <v>172335.93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392153.36+105</f>
        <v>392258.36</v>
      </c>
      <c r="I543" s="18"/>
      <c r="J543" s="18"/>
      <c r="K543" s="18"/>
      <c r="L543" s="88">
        <f>SUM(F543:K543)</f>
        <v>392258.36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970019.48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970019.48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8433243.879999999</v>
      </c>
      <c r="G545" s="89">
        <f t="shared" ref="G545:L545" si="41">G524+G529+G534+G539+G544</f>
        <v>3737301.8600000003</v>
      </c>
      <c r="H545" s="89">
        <f t="shared" si="41"/>
        <v>4420585.43</v>
      </c>
      <c r="I545" s="89">
        <f t="shared" si="41"/>
        <v>68713.099999999991</v>
      </c>
      <c r="J545" s="89">
        <f t="shared" si="41"/>
        <v>18686.489999999998</v>
      </c>
      <c r="K545" s="89">
        <f t="shared" si="41"/>
        <v>1100.27</v>
      </c>
      <c r="L545" s="89">
        <f t="shared" si="41"/>
        <v>16679631.030000001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4705348.0100000007</v>
      </c>
      <c r="G549" s="87">
        <f>L526</f>
        <v>2171852.0499999998</v>
      </c>
      <c r="H549" s="87">
        <f>L531</f>
        <v>329137.73000000004</v>
      </c>
      <c r="I549" s="87">
        <f>L536</f>
        <v>5809.18</v>
      </c>
      <c r="J549" s="87">
        <f>L541</f>
        <v>405425.19</v>
      </c>
      <c r="K549" s="87">
        <f>SUM(F549:J549)</f>
        <v>7617572.1600000011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2090522.3299999998</v>
      </c>
      <c r="G550" s="87">
        <f>L527</f>
        <v>413064.56</v>
      </c>
      <c r="H550" s="87">
        <f>L532</f>
        <v>120996.81999999999</v>
      </c>
      <c r="I550" s="87">
        <f>L537</f>
        <v>5053.6000000000004</v>
      </c>
      <c r="J550" s="87">
        <f>L542</f>
        <v>172335.93</v>
      </c>
      <c r="K550" s="87">
        <f>SUM(F550:J550)</f>
        <v>2801973.2399999998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5122795.63</v>
      </c>
      <c r="G551" s="87">
        <f>L528</f>
        <v>564279.62</v>
      </c>
      <c r="H551" s="87">
        <f>L533</f>
        <v>170445.81</v>
      </c>
      <c r="I551" s="87">
        <f>L538</f>
        <v>10306.209999999999</v>
      </c>
      <c r="J551" s="87">
        <f>L543</f>
        <v>392258.36</v>
      </c>
      <c r="K551" s="87">
        <f>SUM(F551:J551)</f>
        <v>6260085.6299999999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11918665.970000001</v>
      </c>
      <c r="G552" s="89">
        <f t="shared" si="42"/>
        <v>3149196.23</v>
      </c>
      <c r="H552" s="89">
        <f t="shared" si="42"/>
        <v>620580.3600000001</v>
      </c>
      <c r="I552" s="89">
        <f t="shared" si="42"/>
        <v>21168.989999999998</v>
      </c>
      <c r="J552" s="89">
        <f t="shared" si="42"/>
        <v>970019.48</v>
      </c>
      <c r="K552" s="89">
        <f t="shared" si="42"/>
        <v>16679631.030000001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123168.27</v>
      </c>
      <c r="G562" s="18">
        <v>54596.68</v>
      </c>
      <c r="H562" s="18">
        <v>483.33</v>
      </c>
      <c r="I562" s="18">
        <v>1124.2</v>
      </c>
      <c r="J562" s="18"/>
      <c r="K562" s="18"/>
      <c r="L562" s="88">
        <f>SUM(F562:K562)</f>
        <v>179372.48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123168.27</v>
      </c>
      <c r="G565" s="89">
        <f t="shared" si="44"/>
        <v>54596.68</v>
      </c>
      <c r="H565" s="89">
        <f t="shared" si="44"/>
        <v>483.33</v>
      </c>
      <c r="I565" s="89">
        <f t="shared" si="44"/>
        <v>1124.2</v>
      </c>
      <c r="J565" s="89">
        <f t="shared" si="44"/>
        <v>0</v>
      </c>
      <c r="K565" s="89">
        <f t="shared" si="44"/>
        <v>0</v>
      </c>
      <c r="L565" s="89">
        <f t="shared" si="44"/>
        <v>179372.48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43000.1</v>
      </c>
      <c r="G568" s="18">
        <v>30971.13</v>
      </c>
      <c r="H568" s="18"/>
      <c r="I568" s="18"/>
      <c r="J568" s="18"/>
      <c r="K568" s="18"/>
      <c r="L568" s="88">
        <f>SUM(F568:K568)</f>
        <v>73971.23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43000.1</v>
      </c>
      <c r="G570" s="193">
        <f t="shared" ref="G570:L570" si="45">SUM(G567:G569)</f>
        <v>30971.13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73971.23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166168.37</v>
      </c>
      <c r="G571" s="89">
        <f t="shared" ref="G571:L571" si="46">G560+G565+G570</f>
        <v>85567.81</v>
      </c>
      <c r="H571" s="89">
        <f t="shared" si="46"/>
        <v>483.33</v>
      </c>
      <c r="I571" s="89">
        <f t="shared" si="46"/>
        <v>1124.2</v>
      </c>
      <c r="J571" s="89">
        <f t="shared" si="46"/>
        <v>0</v>
      </c>
      <c r="K571" s="89">
        <f t="shared" si="46"/>
        <v>0</v>
      </c>
      <c r="L571" s="89">
        <f t="shared" si="46"/>
        <v>253343.71000000002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85280.04</v>
      </c>
      <c r="G579" s="18">
        <v>4791.6499999999996</v>
      </c>
      <c r="H579" s="18"/>
      <c r="I579" s="87">
        <f t="shared" si="47"/>
        <v>90071.689999999988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92483</v>
      </c>
      <c r="G580" s="18">
        <v>54440</v>
      </c>
      <c r="H580" s="18">
        <v>1358436.65</v>
      </c>
      <c r="I580" s="87">
        <f t="shared" si="47"/>
        <v>1505359.65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140544.28</v>
      </c>
      <c r="G582" s="18">
        <v>394125.27</v>
      </c>
      <c r="H582" s="18">
        <v>1012278.55</v>
      </c>
      <c r="I582" s="87">
        <f t="shared" si="47"/>
        <v>1546948.1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2622.81</v>
      </c>
      <c r="I584" s="87">
        <f t="shared" si="47"/>
        <v>2622.81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>
        <v>897</v>
      </c>
      <c r="I587" s="87">
        <f t="shared" si="47"/>
        <v>897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332388.37</v>
      </c>
      <c r="I591" s="18">
        <v>171296.05</v>
      </c>
      <c r="J591" s="18">
        <v>382966.38</v>
      </c>
      <c r="K591" s="104">
        <f t="shared" ref="K591:K597" si="48">SUM(H591:J591)</f>
        <v>886650.8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405425.19</v>
      </c>
      <c r="I592" s="18">
        <v>172335.93</v>
      </c>
      <c r="J592" s="18">
        <f>392153.36+105</f>
        <v>392258.36</v>
      </c>
      <c r="K592" s="104">
        <f t="shared" si="48"/>
        <v>970019.48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1888.55</f>
        <v>1888.55</v>
      </c>
      <c r="K593" s="104">
        <f t="shared" si="48"/>
        <v>1888.55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21317.58</v>
      </c>
      <c r="J594" s="18">
        <v>133104.82999999999</v>
      </c>
      <c r="K594" s="104">
        <f t="shared" si="48"/>
        <v>154422.40999999997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16740.43</v>
      </c>
      <c r="I595" s="18">
        <v>10547.86</v>
      </c>
      <c r="J595" s="18">
        <f>18731.48-105</f>
        <v>18626.48</v>
      </c>
      <c r="K595" s="104">
        <f t="shared" si="48"/>
        <v>45914.770000000004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>
        <f>3020.52+231.08+177.7+11.18</f>
        <v>3440.4799999999996</v>
      </c>
      <c r="J597" s="18"/>
      <c r="K597" s="104">
        <f t="shared" si="48"/>
        <v>3440.4799999999996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754553.99000000011</v>
      </c>
      <c r="I598" s="108">
        <f>SUM(I591:I597)</f>
        <v>378937.89999999997</v>
      </c>
      <c r="J598" s="108">
        <f>SUM(J591:J597)</f>
        <v>928844.6</v>
      </c>
      <c r="K598" s="108">
        <f>SUM(K591:K597)</f>
        <v>2062336.49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2760.57+21611.44+311394.42</f>
        <v>335766.43</v>
      </c>
      <c r="I604" s="18">
        <f>1492.2+11681.86+152701.09</f>
        <v>165875.15</v>
      </c>
      <c r="J604" s="18">
        <f>3208.22+723.04+25116+5047.75+2422.91+979.69+620603.72</f>
        <v>658101.32999999996</v>
      </c>
      <c r="K604" s="104">
        <f>SUM(H604:J604)</f>
        <v>1159742.9099999999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335766.43</v>
      </c>
      <c r="I605" s="108">
        <f>SUM(I602:I604)</f>
        <v>165875.15</v>
      </c>
      <c r="J605" s="108">
        <f>SUM(J602:J604)</f>
        <v>658101.32999999996</v>
      </c>
      <c r="K605" s="108">
        <f>SUM(K602:K604)</f>
        <v>1159742.9099999999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32954.85</v>
      </c>
      <c r="G611" s="18">
        <v>5164.72</v>
      </c>
      <c r="H611" s="18">
        <v>5250</v>
      </c>
      <c r="I611" s="18">
        <v>1006.33</v>
      </c>
      <c r="J611" s="18">
        <v>550</v>
      </c>
      <c r="K611" s="18"/>
      <c r="L611" s="88">
        <f>SUM(F611:K611)</f>
        <v>44925.9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5150</v>
      </c>
      <c r="G612" s="18">
        <v>1127.56</v>
      </c>
      <c r="H612" s="18"/>
      <c r="I612" s="18"/>
      <c r="J612" s="18"/>
      <c r="K612" s="18"/>
      <c r="L612" s="88">
        <f>SUM(F612:K612)</f>
        <v>6277.5599999999995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13991.16</v>
      </c>
      <c r="G613" s="18">
        <v>3132.07</v>
      </c>
      <c r="H613" s="18">
        <v>262.95999999999998</v>
      </c>
      <c r="I613" s="18">
        <v>2974.84</v>
      </c>
      <c r="J613" s="18"/>
      <c r="K613" s="18"/>
      <c r="L613" s="88">
        <f>SUM(F613:K613)</f>
        <v>20361.03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52096.009999999995</v>
      </c>
      <c r="G614" s="108">
        <f t="shared" si="49"/>
        <v>9424.35</v>
      </c>
      <c r="H614" s="108">
        <f t="shared" si="49"/>
        <v>5512.96</v>
      </c>
      <c r="I614" s="108">
        <f t="shared" si="49"/>
        <v>3981.17</v>
      </c>
      <c r="J614" s="108">
        <f t="shared" si="49"/>
        <v>550</v>
      </c>
      <c r="K614" s="108">
        <f t="shared" si="49"/>
        <v>0</v>
      </c>
      <c r="L614" s="89">
        <f t="shared" si="49"/>
        <v>71564.489999999991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3162212.49</v>
      </c>
      <c r="H617" s="109">
        <f>SUM(F52)</f>
        <v>3162212.49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533978.62999999989</v>
      </c>
      <c r="H618" s="109">
        <f>SUM(G52)</f>
        <v>533978.63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759622.09000000008</v>
      </c>
      <c r="H619" s="109">
        <f>SUM(H52)</f>
        <v>759622.09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93588</v>
      </c>
      <c r="H620" s="109">
        <f>SUM(I52)</f>
        <v>93588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698687.1</v>
      </c>
      <c r="H621" s="109">
        <f>SUM(J52)</f>
        <v>698687.1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2429171.7800000003</v>
      </c>
      <c r="H622" s="109">
        <f>F476</f>
        <v>2429171.7800000012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504090.81</v>
      </c>
      <c r="H623" s="109">
        <f>G476</f>
        <v>504090.81000000006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270757.12</v>
      </c>
      <c r="H624" s="109">
        <f>H476</f>
        <v>270757.12000000011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49200</v>
      </c>
      <c r="H625" s="109">
        <f>I476</f>
        <v>49200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698687.1</v>
      </c>
      <c r="H626" s="109">
        <f>J476</f>
        <v>698687.1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61061535.839999996</v>
      </c>
      <c r="H627" s="104">
        <f>SUM(F468)</f>
        <v>61061535.840000004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1544997.42</v>
      </c>
      <c r="H628" s="104">
        <f>SUM(G468)</f>
        <v>1544997.42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3176723.81</v>
      </c>
      <c r="H629" s="104">
        <f>SUM(H468)</f>
        <v>3176723.8099999996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93588</v>
      </c>
      <c r="H630" s="104">
        <f>SUM(I468)</f>
        <v>93588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108365.62</v>
      </c>
      <c r="H631" s="104">
        <f>SUM(J468)</f>
        <v>108365.62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60455115.639999993</v>
      </c>
      <c r="H632" s="104">
        <f>SUM(F472)</f>
        <v>60455115.640000001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3128174.43</v>
      </c>
      <c r="H633" s="104">
        <f>SUM(H472)</f>
        <v>3128174.4299999997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716658.45</v>
      </c>
      <c r="H634" s="104">
        <f>I369</f>
        <v>716658.45000000007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1467067.38</v>
      </c>
      <c r="H635" s="104">
        <f>SUM(G472)</f>
        <v>1467067.38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44388</v>
      </c>
      <c r="H636" s="104">
        <f>SUM(I472)</f>
        <v>44388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108365.62000000001</v>
      </c>
      <c r="H637" s="164">
        <f>SUM(J468)</f>
        <v>108365.62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698687.1</v>
      </c>
      <c r="H640" s="104">
        <f>SUM(G461)</f>
        <v>698687.1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698687.1</v>
      </c>
      <c r="H642" s="104">
        <f>SUM(I461)</f>
        <v>698687.1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8364.6200000000008</v>
      </c>
      <c r="H644" s="104">
        <f>H408</f>
        <v>8364.619999999999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100001</v>
      </c>
      <c r="H645" s="104">
        <f>G408</f>
        <v>100001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108365.62</v>
      </c>
      <c r="H646" s="104">
        <f>L408</f>
        <v>108365.62000000001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2062336.49</v>
      </c>
      <c r="H647" s="104">
        <f>L208+L226+L244</f>
        <v>2062336.4900000002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1159742.9099999999</v>
      </c>
      <c r="H648" s="104">
        <f>(J257+J338)-(J255+J336)</f>
        <v>1159742.9100000001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754553.99000000011</v>
      </c>
      <c r="H649" s="104">
        <f>H598</f>
        <v>754553.99000000011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378937.89999999997</v>
      </c>
      <c r="H650" s="104">
        <f>I598</f>
        <v>378937.89999999997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928844.6</v>
      </c>
      <c r="H651" s="104">
        <f>J598</f>
        <v>928844.6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44388</v>
      </c>
      <c r="H654" s="104">
        <f>K265+K346</f>
        <v>44388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100001</v>
      </c>
      <c r="H655" s="104">
        <f>K266+K347</f>
        <v>100001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22564256.539999995</v>
      </c>
      <c r="G660" s="19">
        <f>(L229+L309+L359)</f>
        <v>10528793.650000002</v>
      </c>
      <c r="H660" s="19">
        <f>(L247+L328+L360)</f>
        <v>25404154.919999998</v>
      </c>
      <c r="I660" s="19">
        <f>SUM(F660:H660)</f>
        <v>58497205.109999999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214936.47145860083</v>
      </c>
      <c r="G661" s="19">
        <f>(L359/IF(SUM(L358:L360)=0,1,SUM(L358:L360))*(SUM(G97:G110)))</f>
        <v>208155.78298470587</v>
      </c>
      <c r="H661" s="19">
        <f>(L360/IF(SUM(L358:L360)=0,1,SUM(L358:L360))*(SUM(G97:G110)))</f>
        <v>399378.55555669335</v>
      </c>
      <c r="I661" s="19">
        <f>SUM(F661:H661)</f>
        <v>822470.81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759616.39000000013</v>
      </c>
      <c r="G662" s="19">
        <f>(L226+L306)-(J226+J306)</f>
        <v>378937.89999999997</v>
      </c>
      <c r="H662" s="19">
        <f>(L244+L325)-(J244+J325)</f>
        <v>936220.21</v>
      </c>
      <c r="I662" s="19">
        <f>SUM(F662:H662)</f>
        <v>2074774.5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698999.65</v>
      </c>
      <c r="G663" s="199">
        <f>SUM(G575:G587)+SUM(I602:I604)+L612</f>
        <v>625509.63000000012</v>
      </c>
      <c r="H663" s="199">
        <f>SUM(H575:H587)+SUM(J602:J604)+L613</f>
        <v>3052697.37</v>
      </c>
      <c r="I663" s="19">
        <f>SUM(F663:H663)</f>
        <v>4377206.6500000004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20890704.028541394</v>
      </c>
      <c r="G664" s="19">
        <f>G660-SUM(G661:G663)</f>
        <v>9316190.3370152973</v>
      </c>
      <c r="H664" s="19">
        <f>H660-SUM(H661:H663)</f>
        <v>21015858.784443304</v>
      </c>
      <c r="I664" s="19">
        <f>I660-SUM(I661:I663)</f>
        <v>51222753.149999999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1206.7</v>
      </c>
      <c r="G665" s="248">
        <v>697.12</v>
      </c>
      <c r="H665" s="248">
        <v>1371.53</v>
      </c>
      <c r="I665" s="19">
        <f>SUM(F665:H665)</f>
        <v>3275.3500000000004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17312.259999999998</v>
      </c>
      <c r="G667" s="19">
        <f>ROUND(G664/G665,2)</f>
        <v>13363.83</v>
      </c>
      <c r="H667" s="19">
        <f>ROUND(H664/H665,2)</f>
        <v>15322.93</v>
      </c>
      <c r="I667" s="19">
        <f>ROUND(I664/I665,2)</f>
        <v>15638.86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22.45</v>
      </c>
      <c r="I670" s="19">
        <f>SUM(F670:H670)</f>
        <v>22.45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17312.259999999998</v>
      </c>
      <c r="G672" s="19">
        <f>ROUND((G664+G669)/(G665+G670),2)</f>
        <v>13363.83</v>
      </c>
      <c r="H672" s="19">
        <f>ROUND((H664+H669)/(H665+H670),2)</f>
        <v>15076.16</v>
      </c>
      <c r="I672" s="19">
        <f>ROUND((I664+I669)/(I665+I670),2)</f>
        <v>15532.4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KEENE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13922440.09</v>
      </c>
      <c r="C9" s="229">
        <f>'DOE25'!G197+'DOE25'!G215+'DOE25'!G233+'DOE25'!G276+'DOE25'!G295+'DOE25'!G314</f>
        <v>6721152.21</v>
      </c>
    </row>
    <row r="10" spans="1:3" x14ac:dyDescent="0.2">
      <c r="A10" t="s">
        <v>773</v>
      </c>
      <c r="B10" s="240">
        <v>12162700.65</v>
      </c>
      <c r="C10" s="240">
        <v>6334826.4100000001</v>
      </c>
    </row>
    <row r="11" spans="1:3" x14ac:dyDescent="0.2">
      <c r="A11" t="s">
        <v>774</v>
      </c>
      <c r="B11" s="240">
        <v>566470.46</v>
      </c>
      <c r="C11" s="240">
        <v>295040.73</v>
      </c>
    </row>
    <row r="12" spans="1:3" x14ac:dyDescent="0.2">
      <c r="A12" t="s">
        <v>775</v>
      </c>
      <c r="B12" s="240">
        <v>1193268.98</v>
      </c>
      <c r="C12" s="240">
        <v>91285.07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13922440.09</v>
      </c>
      <c r="C13" s="231">
        <f>SUM(C10:C12)</f>
        <v>6721152.2100000009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6139455.0300000003</v>
      </c>
      <c r="C18" s="229">
        <f>'DOE25'!G198+'DOE25'!G216+'DOE25'!G234+'DOE25'!G277+'DOE25'!G296+'DOE25'!G315</f>
        <v>2677602.0200000005</v>
      </c>
    </row>
    <row r="19" spans="1:3" x14ac:dyDescent="0.2">
      <c r="A19" t="s">
        <v>773</v>
      </c>
      <c r="B19" s="240">
        <v>3120885.1</v>
      </c>
      <c r="C19" s="240">
        <v>1840579.67</v>
      </c>
    </row>
    <row r="20" spans="1:3" x14ac:dyDescent="0.2">
      <c r="A20" t="s">
        <v>774</v>
      </c>
      <c r="B20" s="240">
        <v>1180881.6100000001</v>
      </c>
      <c r="C20" s="240">
        <v>696439.19</v>
      </c>
    </row>
    <row r="21" spans="1:3" x14ac:dyDescent="0.2">
      <c r="A21" t="s">
        <v>775</v>
      </c>
      <c r="B21" s="240">
        <v>1837688.32</v>
      </c>
      <c r="C21" s="240">
        <v>140583.16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6139455.0300000003</v>
      </c>
      <c r="C22" s="231">
        <f>SUM(C19:C21)</f>
        <v>2677602.02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808826.36</v>
      </c>
      <c r="C27" s="234">
        <f>'DOE25'!G199+'DOE25'!G217+'DOE25'!G235+'DOE25'!G278+'DOE25'!G297+'DOE25'!G316</f>
        <v>384884.07</v>
      </c>
    </row>
    <row r="28" spans="1:3" x14ac:dyDescent="0.2">
      <c r="A28" t="s">
        <v>773</v>
      </c>
      <c r="B28" s="240">
        <v>712676.58</v>
      </c>
      <c r="C28" s="240">
        <v>374713.84</v>
      </c>
    </row>
    <row r="29" spans="1:3" x14ac:dyDescent="0.2">
      <c r="A29" t="s">
        <v>774</v>
      </c>
      <c r="B29" s="240">
        <v>6265</v>
      </c>
      <c r="C29" s="240">
        <v>3294.04</v>
      </c>
    </row>
    <row r="30" spans="1:3" x14ac:dyDescent="0.2">
      <c r="A30" t="s">
        <v>775</v>
      </c>
      <c r="B30" s="240">
        <v>89884.78</v>
      </c>
      <c r="C30" s="240">
        <v>6876.19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808826.36</v>
      </c>
      <c r="C31" s="231">
        <f>SUM(C28:C30)</f>
        <v>384884.07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497353.64999999997</v>
      </c>
      <c r="C36" s="235">
        <f>'DOE25'!G200+'DOE25'!G218+'DOE25'!G236+'DOE25'!G279+'DOE25'!G298+'DOE25'!G317</f>
        <v>129218.23999999999</v>
      </c>
    </row>
    <row r="37" spans="1:3" x14ac:dyDescent="0.2">
      <c r="A37" t="s">
        <v>773</v>
      </c>
      <c r="B37" s="240">
        <v>341648.78</v>
      </c>
      <c r="C37" s="240">
        <v>88764.31</v>
      </c>
    </row>
    <row r="38" spans="1:3" x14ac:dyDescent="0.2">
      <c r="A38" t="s">
        <v>774</v>
      </c>
      <c r="B38" s="240">
        <v>7486.1</v>
      </c>
      <c r="C38" s="240">
        <v>1944.98</v>
      </c>
    </row>
    <row r="39" spans="1:3" x14ac:dyDescent="0.2">
      <c r="A39" t="s">
        <v>775</v>
      </c>
      <c r="B39" s="240">
        <v>148218.76999999999</v>
      </c>
      <c r="C39" s="240">
        <v>38508.949999999997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497353.65</v>
      </c>
      <c r="C40" s="231">
        <f>SUM(C37:C39)</f>
        <v>129218.23999999999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KEENE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34778950.129999995</v>
      </c>
      <c r="D5" s="20">
        <f>SUM('DOE25'!L197:L200)+SUM('DOE25'!L215:L218)+SUM('DOE25'!L233:L236)-F5-G5</f>
        <v>34590870.629999995</v>
      </c>
      <c r="E5" s="243"/>
      <c r="F5" s="255">
        <f>SUM('DOE25'!J197:J200)+SUM('DOE25'!J215:J218)+SUM('DOE25'!J233:J236)</f>
        <v>158213.19</v>
      </c>
      <c r="G5" s="53">
        <f>SUM('DOE25'!K197:K200)+SUM('DOE25'!K215:K218)+SUM('DOE25'!K233:K236)</f>
        <v>29866.310000000005</v>
      </c>
      <c r="H5" s="259"/>
    </row>
    <row r="6" spans="1:9" x14ac:dyDescent="0.2">
      <c r="A6" s="32">
        <v>2100</v>
      </c>
      <c r="B6" t="s">
        <v>795</v>
      </c>
      <c r="C6" s="245">
        <f t="shared" si="0"/>
        <v>4900164.3</v>
      </c>
      <c r="D6" s="20">
        <f>'DOE25'!L202+'DOE25'!L220+'DOE25'!L238-F6-G6</f>
        <v>4899426.68</v>
      </c>
      <c r="E6" s="243"/>
      <c r="F6" s="255">
        <f>'DOE25'!J202+'DOE25'!J220+'DOE25'!J238</f>
        <v>194.62</v>
      </c>
      <c r="G6" s="53">
        <f>'DOE25'!K202+'DOE25'!K220+'DOE25'!K238</f>
        <v>543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1122660.0499999998</v>
      </c>
      <c r="D7" s="20">
        <f>'DOE25'!L203+'DOE25'!L221+'DOE25'!L239-F7-G7</f>
        <v>1102957.7699999998</v>
      </c>
      <c r="E7" s="243"/>
      <c r="F7" s="255">
        <f>'DOE25'!J203+'DOE25'!J221+'DOE25'!J239</f>
        <v>15201.810000000001</v>
      </c>
      <c r="G7" s="53">
        <f>'DOE25'!K203+'DOE25'!K221+'DOE25'!K239</f>
        <v>4500.47</v>
      </c>
      <c r="H7" s="259"/>
    </row>
    <row r="8" spans="1:9" x14ac:dyDescent="0.2">
      <c r="A8" s="32">
        <v>2300</v>
      </c>
      <c r="B8" t="s">
        <v>796</v>
      </c>
      <c r="C8" s="245">
        <f t="shared" si="0"/>
        <v>2316305.2799999998</v>
      </c>
      <c r="D8" s="243"/>
      <c r="E8" s="20">
        <f>'DOE25'!L204+'DOE25'!L222+'DOE25'!L240-F8-G8-D9-D11</f>
        <v>2288625.1199999996</v>
      </c>
      <c r="F8" s="255">
        <f>'DOE25'!J204+'DOE25'!J222+'DOE25'!J240</f>
        <v>0</v>
      </c>
      <c r="G8" s="53">
        <f>'DOE25'!K204+'DOE25'!K222+'DOE25'!K240</f>
        <v>27680.16</v>
      </c>
      <c r="H8" s="259"/>
    </row>
    <row r="9" spans="1:9" x14ac:dyDescent="0.2">
      <c r="A9" s="32">
        <v>2310</v>
      </c>
      <c r="B9" t="s">
        <v>812</v>
      </c>
      <c r="C9" s="245">
        <f t="shared" si="0"/>
        <v>260187.89</v>
      </c>
      <c r="D9" s="244">
        <v>260187.89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16120</v>
      </c>
      <c r="D10" s="243"/>
      <c r="E10" s="244">
        <v>16120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399948</v>
      </c>
      <c r="D11" s="244">
        <v>399948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2980982.57</v>
      </c>
      <c r="D12" s="20">
        <f>'DOE25'!L205+'DOE25'!L223+'DOE25'!L241-F12-G12</f>
        <v>2956851.31</v>
      </c>
      <c r="E12" s="243"/>
      <c r="F12" s="255">
        <f>'DOE25'!J205+'DOE25'!J223+'DOE25'!J241</f>
        <v>11056.03</v>
      </c>
      <c r="G12" s="53">
        <f>'DOE25'!K205+'DOE25'!K223+'DOE25'!K241</f>
        <v>13075.23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19992</v>
      </c>
      <c r="D13" s="243"/>
      <c r="E13" s="20">
        <f>'DOE25'!L206+'DOE25'!L224+'DOE25'!L242-F13-G13</f>
        <v>19992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4759458.2699999996</v>
      </c>
      <c r="D14" s="20">
        <f>'DOE25'!L207+'DOE25'!L225+'DOE25'!L243-F14-G14</f>
        <v>4620192.3099999996</v>
      </c>
      <c r="E14" s="243"/>
      <c r="F14" s="255">
        <f>'DOE25'!J207+'DOE25'!J225+'DOE25'!J243</f>
        <v>127451.53</v>
      </c>
      <c r="G14" s="53">
        <f>'DOE25'!K207+'DOE25'!K225+'DOE25'!K243</f>
        <v>11814.43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2062336.4900000002</v>
      </c>
      <c r="D15" s="20">
        <f>'DOE25'!L208+'DOE25'!L226+'DOE25'!L244-F15-G15</f>
        <v>2062336.4900000002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876891.84000000008</v>
      </c>
      <c r="D16" s="243"/>
      <c r="E16" s="20">
        <f>'DOE25'!L209+'DOE25'!L227+'DOE25'!L245-F16-G16</f>
        <v>277890.21000000008</v>
      </c>
      <c r="F16" s="255">
        <f>'DOE25'!J209+'DOE25'!J227+'DOE25'!J245</f>
        <v>599001.63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2566928.5699999998</v>
      </c>
      <c r="D22" s="243"/>
      <c r="E22" s="243"/>
      <c r="F22" s="255">
        <f>'DOE25'!L255+'DOE25'!L336</f>
        <v>2566928.5699999998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3358556.25</v>
      </c>
      <c r="D25" s="243"/>
      <c r="E25" s="243"/>
      <c r="F25" s="258"/>
      <c r="G25" s="256"/>
      <c r="H25" s="257">
        <f>'DOE25'!L260+'DOE25'!L261+'DOE25'!L341+'DOE25'!L342</f>
        <v>3358556.25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782085.81999999983</v>
      </c>
      <c r="D29" s="20">
        <f>'DOE25'!L358+'DOE25'!L359+'DOE25'!L360-'DOE25'!I367-F29-G29</f>
        <v>758858.07999999984</v>
      </c>
      <c r="E29" s="243"/>
      <c r="F29" s="255">
        <f>'DOE25'!J358+'DOE25'!J359+'DOE25'!J360</f>
        <v>21995.98</v>
      </c>
      <c r="G29" s="53">
        <f>'DOE25'!K358+'DOE25'!K359+'DOE25'!K360</f>
        <v>1231.76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3035539.43</v>
      </c>
      <c r="D31" s="20">
        <f>'DOE25'!L290+'DOE25'!L309+'DOE25'!L328+'DOE25'!L333+'DOE25'!L334+'DOE25'!L335-F31-G31</f>
        <v>2624116.0100000002</v>
      </c>
      <c r="E31" s="243"/>
      <c r="F31" s="255">
        <f>'DOE25'!J290+'DOE25'!J309+'DOE25'!J328+'DOE25'!J333+'DOE25'!J334+'DOE25'!J335</f>
        <v>248624.09999999998</v>
      </c>
      <c r="G31" s="53">
        <f>'DOE25'!K290+'DOE25'!K309+'DOE25'!K328+'DOE25'!K333+'DOE25'!K334+'DOE25'!K335</f>
        <v>162799.32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54275745.170000002</v>
      </c>
      <c r="E33" s="246">
        <f>SUM(E5:E31)</f>
        <v>2602627.3299999996</v>
      </c>
      <c r="F33" s="246">
        <f>SUM(F5:F31)</f>
        <v>3748667.46</v>
      </c>
      <c r="G33" s="246">
        <f>SUM(G5:G31)</f>
        <v>251510.68</v>
      </c>
      <c r="H33" s="246">
        <f>SUM(H5:H31)</f>
        <v>3358556.25</v>
      </c>
    </row>
    <row r="35" spans="2:8" ht="12" thickBot="1" x14ac:dyDescent="0.25">
      <c r="B35" s="253" t="s">
        <v>841</v>
      </c>
      <c r="D35" s="254">
        <f>E33</f>
        <v>2602627.3299999996</v>
      </c>
      <c r="E35" s="249"/>
    </row>
    <row r="36" spans="2:8" ht="12" thickTop="1" x14ac:dyDescent="0.2">
      <c r="B36" t="s">
        <v>809</v>
      </c>
      <c r="D36" s="20">
        <f>D33</f>
        <v>54275745.170000002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2407349.7000000002</v>
      </c>
      <c r="D8" s="95">
        <f>'DOE25'!G9</f>
        <v>485070.81</v>
      </c>
      <c r="E8" s="95">
        <f>'DOE25'!H9</f>
        <v>329868.13</v>
      </c>
      <c r="F8" s="95">
        <f>'DOE25'!I9</f>
        <v>93588</v>
      </c>
      <c r="G8" s="95">
        <f>'DOE25'!J9</f>
        <v>698687.1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357945.48</v>
      </c>
      <c r="D11" s="95">
        <f>'DOE25'!G12</f>
        <v>0</v>
      </c>
      <c r="E11" s="95">
        <f>'DOE25'!H12</f>
        <v>396188.91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381273.77</v>
      </c>
      <c r="D12" s="95">
        <f>'DOE25'!G13</f>
        <v>45268.63</v>
      </c>
      <c r="E12" s="95">
        <f>'DOE25'!H13</f>
        <v>2924.98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15643.54</v>
      </c>
      <c r="D13" s="95">
        <f>'DOE25'!G14</f>
        <v>3639.19</v>
      </c>
      <c r="E13" s="95">
        <f>'DOE25'!H14</f>
        <v>9718.16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20921.91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3162212.49</v>
      </c>
      <c r="D18" s="41">
        <f>SUM(D8:D17)</f>
        <v>533978.62999999989</v>
      </c>
      <c r="E18" s="41">
        <f>SUM(E8:E17)</f>
        <v>759622.09000000008</v>
      </c>
      <c r="F18" s="41">
        <f>SUM(F8:F17)</f>
        <v>93588</v>
      </c>
      <c r="G18" s="41">
        <f>SUM(G8:G17)</f>
        <v>698687.1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357945.48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22367.27</v>
      </c>
      <c r="D22" s="95">
        <f>'DOE25'!G23</f>
        <v>0</v>
      </c>
      <c r="E22" s="95">
        <f>'DOE25'!H23</f>
        <v>837.18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509462.97</v>
      </c>
      <c r="D23" s="95">
        <f>'DOE25'!G24</f>
        <v>335.31</v>
      </c>
      <c r="E23" s="95">
        <f>'DOE25'!H24</f>
        <v>52868.259999999995</v>
      </c>
      <c r="F23" s="95">
        <f>'DOE25'!I24</f>
        <v>44388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201210.47</v>
      </c>
      <c r="D27" s="95">
        <f>'DOE25'!G28</f>
        <v>0</v>
      </c>
      <c r="E27" s="95">
        <f>'DOE25'!H28</f>
        <v>3517.05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29552.51</v>
      </c>
      <c r="E29" s="95">
        <f>'DOE25'!H30</f>
        <v>73697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733040.71</v>
      </c>
      <c r="D31" s="41">
        <f>SUM(D21:D30)</f>
        <v>29887.82</v>
      </c>
      <c r="E31" s="41">
        <f>SUM(E21:E30)</f>
        <v>488864.97</v>
      </c>
      <c r="F31" s="41">
        <f>SUM(F21:F30)</f>
        <v>44388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19771.91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49200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504090.81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157098.28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53710.89</v>
      </c>
      <c r="D44" s="95">
        <f>'DOE25'!G45</f>
        <v>0</v>
      </c>
      <c r="E44" s="95">
        <f>'DOE25'!H45</f>
        <v>113.71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93773.22</v>
      </c>
      <c r="F47" s="95">
        <f>'DOE25'!I48</f>
        <v>0</v>
      </c>
      <c r="G47" s="95">
        <f>'DOE25'!J48</f>
        <v>698687.1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2275460.89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2429171.7800000003</v>
      </c>
      <c r="D50" s="41">
        <f>SUM(D34:D49)</f>
        <v>504090.81</v>
      </c>
      <c r="E50" s="41">
        <f>SUM(E34:E49)</f>
        <v>270757.12</v>
      </c>
      <c r="F50" s="41">
        <f>SUM(F34:F49)</f>
        <v>49200</v>
      </c>
      <c r="G50" s="41">
        <f>SUM(G34:G49)</f>
        <v>698687.1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3162212.49</v>
      </c>
      <c r="D51" s="41">
        <f>D50+D31</f>
        <v>533978.63</v>
      </c>
      <c r="E51" s="41">
        <f>E50+E31</f>
        <v>759622.09</v>
      </c>
      <c r="F51" s="41">
        <f>F50+F31</f>
        <v>93588</v>
      </c>
      <c r="G51" s="41">
        <f>G50+G31</f>
        <v>698687.1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30997133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12050021.659999998</v>
      </c>
      <c r="D57" s="24" t="s">
        <v>286</v>
      </c>
      <c r="E57" s="95">
        <f>'DOE25'!H79</f>
        <v>483932.25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10286.52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8364.6200000000008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800645.80999999994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385995.38</v>
      </c>
      <c r="D61" s="95">
        <f>SUM('DOE25'!G98:G110)</f>
        <v>21825</v>
      </c>
      <c r="E61" s="95">
        <f>SUM('DOE25'!H98:H110)</f>
        <v>452861.05999999994</v>
      </c>
      <c r="F61" s="95">
        <f>SUM('DOE25'!I98:I110)</f>
        <v>49200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12446303.559999999</v>
      </c>
      <c r="D62" s="130">
        <f>SUM(D57:D61)</f>
        <v>822470.80999999994</v>
      </c>
      <c r="E62" s="130">
        <f>SUM(E57:E61)</f>
        <v>936793.30999999994</v>
      </c>
      <c r="F62" s="130">
        <f>SUM(F57:F61)</f>
        <v>49200</v>
      </c>
      <c r="G62" s="130">
        <f>SUM(G57:G61)</f>
        <v>8364.6200000000008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43443436.560000002</v>
      </c>
      <c r="D63" s="22">
        <f>D56+D62</f>
        <v>822470.80999999994</v>
      </c>
      <c r="E63" s="22">
        <f>E56+E62</f>
        <v>936793.30999999994</v>
      </c>
      <c r="F63" s="22">
        <f>F56+F62</f>
        <v>49200</v>
      </c>
      <c r="G63" s="22">
        <f>G56+G62</f>
        <v>8364.6200000000008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10488927.43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4046103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24937.82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14559968.25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1520236.95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729739.52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184456.53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13895.97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2434432.9999999995</v>
      </c>
      <c r="D78" s="130">
        <f>SUM(D72:D77)</f>
        <v>13895.97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16994401.25</v>
      </c>
      <c r="D81" s="130">
        <f>SUM(D79:D80)+D78+D70</f>
        <v>13895.97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623698.03</v>
      </c>
      <c r="D88" s="95">
        <f>SUM('DOE25'!G153:G161)</f>
        <v>708630.64</v>
      </c>
      <c r="E88" s="95">
        <f>SUM('DOE25'!H153:H161)</f>
        <v>2239930.5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623698.03</v>
      </c>
      <c r="D91" s="131">
        <f>SUM(D85:D90)</f>
        <v>708630.64</v>
      </c>
      <c r="E91" s="131">
        <f>SUM(E85:E90)</f>
        <v>2239930.5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44388</v>
      </c>
      <c r="G96" s="95">
        <f>'DOE25'!J179</f>
        <v>100001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44388</v>
      </c>
      <c r="G103" s="86">
        <f>SUM(G93:G102)</f>
        <v>100001</v>
      </c>
    </row>
    <row r="104" spans="1:7" ht="12.75" thickTop="1" thickBot="1" x14ac:dyDescent="0.25">
      <c r="A104" s="33" t="s">
        <v>759</v>
      </c>
      <c r="C104" s="86">
        <f>C63+C81+C91+C103</f>
        <v>61061535.840000004</v>
      </c>
      <c r="D104" s="86">
        <f>D63+D81+D91+D103</f>
        <v>1544997.42</v>
      </c>
      <c r="E104" s="86">
        <f>E63+E81+E91+E103</f>
        <v>3176723.81</v>
      </c>
      <c r="F104" s="86">
        <f>F63+F81+F91+F103</f>
        <v>93588</v>
      </c>
      <c r="G104" s="86">
        <f>G63+G81+G103</f>
        <v>108365.62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20721478.529999997</v>
      </c>
      <c r="D109" s="24" t="s">
        <v>286</v>
      </c>
      <c r="E109" s="95">
        <f>('DOE25'!L276)+('DOE25'!L295)+('DOE25'!L314)</f>
        <v>936638.02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11976388.24</v>
      </c>
      <c r="D110" s="24" t="s">
        <v>286</v>
      </c>
      <c r="E110" s="95">
        <f>('DOE25'!L277)+('DOE25'!L296)+('DOE25'!L315)</f>
        <v>235069.44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1269283.3700000001</v>
      </c>
      <c r="D111" s="24" t="s">
        <v>286</v>
      </c>
      <c r="E111" s="95">
        <f>('DOE25'!L278)+('DOE25'!L297)+('DOE25'!L316)</f>
        <v>222948.69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811799.99</v>
      </c>
      <c r="D112" s="24" t="s">
        <v>286</v>
      </c>
      <c r="E112" s="95">
        <f>+('DOE25'!L279)+('DOE25'!L298)+('DOE25'!L317)</f>
        <v>40521.149999999994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483278.51999999996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34778950.129999995</v>
      </c>
      <c r="D115" s="86">
        <f>SUM(D109:D114)</f>
        <v>0</v>
      </c>
      <c r="E115" s="86">
        <f>SUM(E109:E114)</f>
        <v>1918455.8199999998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4900164.3</v>
      </c>
      <c r="D118" s="24" t="s">
        <v>286</v>
      </c>
      <c r="E118" s="95">
        <f>+('DOE25'!L281)+('DOE25'!L300)+('DOE25'!L319)</f>
        <v>310243.81999999995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1122660.0499999998</v>
      </c>
      <c r="D119" s="24" t="s">
        <v>286</v>
      </c>
      <c r="E119" s="95">
        <f>+('DOE25'!L282)+('DOE25'!L301)+('DOE25'!L320)</f>
        <v>531434.31000000006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2976441.17</v>
      </c>
      <c r="D120" s="24" t="s">
        <v>286</v>
      </c>
      <c r="E120" s="95">
        <f>+('DOE25'!L283)+('DOE25'!L302)+('DOE25'!L321)</f>
        <v>116505.8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2980982.57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19992</v>
      </c>
      <c r="D122" s="24" t="s">
        <v>286</v>
      </c>
      <c r="E122" s="95">
        <f>+('DOE25'!L285)+('DOE25'!L304)+('DOE25'!L323)</f>
        <v>113111.9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4759458.2699999996</v>
      </c>
      <c r="D123" s="24" t="s">
        <v>286</v>
      </c>
      <c r="E123" s="95">
        <f>+('DOE25'!L286)+('DOE25'!L305)+('DOE25'!L324)</f>
        <v>32909.040000000001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2062336.4900000002</v>
      </c>
      <c r="D124" s="24" t="s">
        <v>286</v>
      </c>
      <c r="E124" s="95">
        <f>+('DOE25'!L287)+('DOE25'!L306)+('DOE25'!L325)</f>
        <v>12438.009999999998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876891.84000000008</v>
      </c>
      <c r="D125" s="24" t="s">
        <v>286</v>
      </c>
      <c r="E125" s="95">
        <f>+('DOE25'!L288)+('DOE25'!L307)+('DOE25'!L326)</f>
        <v>440.73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1467067.38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19698926.690000001</v>
      </c>
      <c r="D128" s="86">
        <f>SUM(D118:D127)</f>
        <v>1467067.38</v>
      </c>
      <c r="E128" s="86">
        <f>SUM(E118:E127)</f>
        <v>1117083.6100000001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2474293.5699999998</v>
      </c>
      <c r="D130" s="24" t="s">
        <v>286</v>
      </c>
      <c r="E130" s="129">
        <f>'DOE25'!L336</f>
        <v>92635</v>
      </c>
      <c r="F130" s="129">
        <f>SUM('DOE25'!L374:'DOE25'!L380)</f>
        <v>44388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2556373.38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802182.87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44388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108365.62000000001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-8364.6200000000099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5977238.8199999994</v>
      </c>
      <c r="D144" s="141">
        <f>SUM(D130:D143)</f>
        <v>0</v>
      </c>
      <c r="E144" s="141">
        <f>SUM(E130:E143)</f>
        <v>92635</v>
      </c>
      <c r="F144" s="141">
        <f>SUM(F130:F143)</f>
        <v>44388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60455115.639999993</v>
      </c>
      <c r="D145" s="86">
        <f>(D115+D128+D144)</f>
        <v>1467067.38</v>
      </c>
      <c r="E145" s="86">
        <f>(E115+E128+E144)</f>
        <v>3128174.4299999997</v>
      </c>
      <c r="F145" s="86">
        <f>(F115+F128+F144)</f>
        <v>44388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29</v>
      </c>
      <c r="D151" s="153">
        <f>'DOE25'!H490</f>
        <v>29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7/10</v>
      </c>
      <c r="D152" s="152" t="str">
        <f>'DOE25'!H491</f>
        <v>7/10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08/39</v>
      </c>
      <c r="D153" s="152" t="str">
        <f>'DOE25'!H492</f>
        <v>08/39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17500000</v>
      </c>
      <c r="C154" s="137">
        <f>'DOE25'!G493</f>
        <v>35115529.659999996</v>
      </c>
      <c r="D154" s="137">
        <f>'DOE25'!H493</f>
        <v>1817970.34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4.4400000000000004</v>
      </c>
      <c r="D155" s="137">
        <f>'DOE25'!H494</f>
        <v>4.4400000000000004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2625000</v>
      </c>
      <c r="C156" s="137">
        <f>'DOE25'!G495</f>
        <v>22857637.920000002</v>
      </c>
      <c r="D156" s="137">
        <f>'DOE25'!H495</f>
        <v>1183365.53</v>
      </c>
      <c r="E156" s="137">
        <f>'DOE25'!I495</f>
        <v>0</v>
      </c>
      <c r="F156" s="137">
        <f>'DOE25'!J495</f>
        <v>0</v>
      </c>
      <c r="G156" s="138">
        <f>SUM(B156:F156)</f>
        <v>26666003.450000003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875000</v>
      </c>
      <c r="C158" s="137">
        <f>'DOE25'!G497</f>
        <v>1598611.47</v>
      </c>
      <c r="D158" s="137">
        <f>'DOE25'!H497</f>
        <v>82761.91</v>
      </c>
      <c r="E158" s="137">
        <f>'DOE25'!I497</f>
        <v>0</v>
      </c>
      <c r="F158" s="137">
        <f>'DOE25'!J497</f>
        <v>0</v>
      </c>
      <c r="G158" s="138">
        <f t="shared" si="0"/>
        <v>2556373.38</v>
      </c>
    </row>
    <row r="159" spans="1:9" x14ac:dyDescent="0.2">
      <c r="A159" s="22" t="s">
        <v>35</v>
      </c>
      <c r="B159" s="137">
        <f>'DOE25'!F498</f>
        <v>1750000</v>
      </c>
      <c r="C159" s="137">
        <f>'DOE25'!G498</f>
        <v>21259026.449999999</v>
      </c>
      <c r="D159" s="137">
        <f>'DOE25'!H498</f>
        <v>1100603.6200000001</v>
      </c>
      <c r="E159" s="137">
        <f>'DOE25'!I498</f>
        <v>0</v>
      </c>
      <c r="F159" s="137">
        <f>'DOE25'!J498</f>
        <v>0</v>
      </c>
      <c r="G159" s="138">
        <f t="shared" si="0"/>
        <v>24109630.07</v>
      </c>
    </row>
    <row r="160" spans="1:9" x14ac:dyDescent="0.2">
      <c r="A160" s="22" t="s">
        <v>36</v>
      </c>
      <c r="B160" s="137">
        <f>'DOE25'!F499</f>
        <v>91875</v>
      </c>
      <c r="C160" s="137">
        <f>'DOE25'!G499</f>
        <v>28247591.690000001</v>
      </c>
      <c r="D160" s="137">
        <f>'DOE25'!H499</f>
        <v>1462409.49</v>
      </c>
      <c r="E160" s="137">
        <f>'DOE25'!I499</f>
        <v>0</v>
      </c>
      <c r="F160" s="137">
        <f>'DOE25'!J499</f>
        <v>0</v>
      </c>
      <c r="G160" s="138">
        <f t="shared" si="0"/>
        <v>29801876.18</v>
      </c>
    </row>
    <row r="161" spans="1:7" x14ac:dyDescent="0.2">
      <c r="A161" s="22" t="s">
        <v>37</v>
      </c>
      <c r="B161" s="137">
        <f>'DOE25'!F500</f>
        <v>1841875</v>
      </c>
      <c r="C161" s="137">
        <f>'DOE25'!G500</f>
        <v>49506618.140000001</v>
      </c>
      <c r="D161" s="137">
        <f>'DOE25'!H500</f>
        <v>2563013.1100000003</v>
      </c>
      <c r="E161" s="137">
        <f>'DOE25'!I500</f>
        <v>0</v>
      </c>
      <c r="F161" s="137">
        <f>'DOE25'!J500</f>
        <v>0</v>
      </c>
      <c r="G161" s="138">
        <f t="shared" si="0"/>
        <v>53911506.25</v>
      </c>
    </row>
    <row r="162" spans="1:7" x14ac:dyDescent="0.2">
      <c r="A162" s="22" t="s">
        <v>38</v>
      </c>
      <c r="B162" s="137">
        <f>'DOE25'!F501</f>
        <v>875000</v>
      </c>
      <c r="C162" s="137">
        <f>'DOE25'!G501</f>
        <v>1525294.17</v>
      </c>
      <c r="D162" s="137">
        <f>'DOE25'!H501</f>
        <v>78966.19</v>
      </c>
      <c r="E162" s="137">
        <f>'DOE25'!I501</f>
        <v>0</v>
      </c>
      <c r="F162" s="137">
        <f>'DOE25'!J501</f>
        <v>0</v>
      </c>
      <c r="G162" s="138">
        <f t="shared" si="0"/>
        <v>2479260.36</v>
      </c>
    </row>
    <row r="163" spans="1:7" x14ac:dyDescent="0.2">
      <c r="A163" s="22" t="s">
        <v>39</v>
      </c>
      <c r="B163" s="137">
        <f>'DOE25'!F502</f>
        <v>68905.25</v>
      </c>
      <c r="C163" s="137">
        <f>'DOE25'!G502</f>
        <v>727489.21</v>
      </c>
      <c r="D163" s="137">
        <f>'DOE25'!H502</f>
        <v>37662.93</v>
      </c>
      <c r="E163" s="137">
        <f>'DOE25'!I502</f>
        <v>0</v>
      </c>
      <c r="F163" s="137">
        <f>'DOE25'!J502</f>
        <v>0</v>
      </c>
      <c r="G163" s="138">
        <f t="shared" si="0"/>
        <v>834057.39</v>
      </c>
    </row>
    <row r="164" spans="1:7" x14ac:dyDescent="0.2">
      <c r="A164" s="22" t="s">
        <v>246</v>
      </c>
      <c r="B164" s="137">
        <f>'DOE25'!F503</f>
        <v>943905.25</v>
      </c>
      <c r="C164" s="137">
        <f>'DOE25'!G503</f>
        <v>2252783.38</v>
      </c>
      <c r="D164" s="137">
        <f>'DOE25'!H503</f>
        <v>116629.12</v>
      </c>
      <c r="E164" s="137">
        <f>'DOE25'!I503</f>
        <v>0</v>
      </c>
      <c r="F164" s="137">
        <f>'DOE25'!J503</f>
        <v>0</v>
      </c>
      <c r="G164" s="138">
        <f t="shared" si="0"/>
        <v>3313317.75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KEENE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17312</v>
      </c>
    </row>
    <row r="5" spans="1:4" x14ac:dyDescent="0.2">
      <c r="B5" t="s">
        <v>698</v>
      </c>
      <c r="C5" s="179">
        <f>IF('DOE25'!G665+'DOE25'!G670=0,0,ROUND('DOE25'!G672,0))</f>
        <v>13364</v>
      </c>
    </row>
    <row r="6" spans="1:4" x14ac:dyDescent="0.2">
      <c r="B6" t="s">
        <v>62</v>
      </c>
      <c r="C6" s="179">
        <f>IF('DOE25'!H665+'DOE25'!H670=0,0,ROUND('DOE25'!H672,0))</f>
        <v>15076</v>
      </c>
    </row>
    <row r="7" spans="1:4" x14ac:dyDescent="0.2">
      <c r="B7" t="s">
        <v>699</v>
      </c>
      <c r="C7" s="179">
        <f>IF('DOE25'!I665+'DOE25'!I670=0,0,ROUND('DOE25'!I672,0))</f>
        <v>15532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21658117</v>
      </c>
      <c r="D10" s="182">
        <f>ROUND((C10/$C$28)*100,1)</f>
        <v>36.700000000000003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12211458</v>
      </c>
      <c r="D11" s="182">
        <f>ROUND((C11/$C$28)*100,1)</f>
        <v>20.7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1492232</v>
      </c>
      <c r="D12" s="182">
        <f>ROUND((C12/$C$28)*100,1)</f>
        <v>2.5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852321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5210408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1654094</v>
      </c>
      <c r="D16" s="182">
        <f t="shared" si="0"/>
        <v>2.8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3970280</v>
      </c>
      <c r="D17" s="182">
        <f t="shared" si="0"/>
        <v>6.7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2980983</v>
      </c>
      <c r="D18" s="182">
        <f t="shared" si="0"/>
        <v>5.0999999999999996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133104</v>
      </c>
      <c r="D19" s="182">
        <f t="shared" si="0"/>
        <v>0.2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4792367</v>
      </c>
      <c r="D20" s="182">
        <f t="shared" si="0"/>
        <v>8.1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2074775</v>
      </c>
      <c r="D21" s="182">
        <f t="shared" si="0"/>
        <v>3.5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483279</v>
      </c>
      <c r="D24" s="182">
        <f t="shared" si="0"/>
        <v>0.8</v>
      </c>
    </row>
    <row r="25" spans="1:4" x14ac:dyDescent="0.2">
      <c r="A25">
        <v>5120</v>
      </c>
      <c r="B25" t="s">
        <v>714</v>
      </c>
      <c r="C25" s="179">
        <f>ROUND('DOE25'!L261+'DOE25'!L342,0)</f>
        <v>802183</v>
      </c>
      <c r="D25" s="182">
        <f t="shared" si="0"/>
        <v>1.4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644596.19000000006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58960197.189999998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2611317</v>
      </c>
    </row>
    <row r="30" spans="1:4" x14ac:dyDescent="0.2">
      <c r="B30" s="187" t="s">
        <v>723</v>
      </c>
      <c r="C30" s="180">
        <f>SUM(C28:C29)</f>
        <v>61571514.189999998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2556373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30997133</v>
      </c>
      <c r="D35" s="182">
        <f t="shared" ref="D35:D40" si="1">ROUND((C35/$C$41)*100,1)</f>
        <v>47.7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13440661.489999995</v>
      </c>
      <c r="D36" s="182">
        <f t="shared" si="1"/>
        <v>20.7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14535030</v>
      </c>
      <c r="D37" s="182">
        <f t="shared" si="1"/>
        <v>22.4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2473267</v>
      </c>
      <c r="D38" s="182">
        <f t="shared" si="1"/>
        <v>3.8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3572259</v>
      </c>
      <c r="D39" s="182">
        <f t="shared" si="1"/>
        <v>5.5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65018350.489999995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KEENE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2018-08-31T12:29:23Z</cp:lastPrinted>
  <dcterms:created xsi:type="dcterms:W3CDTF">1997-12-04T19:04:30Z</dcterms:created>
  <dcterms:modified xsi:type="dcterms:W3CDTF">2018-12-03T19:13:33Z</dcterms:modified>
</cp:coreProperties>
</file>