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17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0" i="1" l="1"/>
  <c r="F127" i="1"/>
  <c r="G526" i="1"/>
  <c r="F526" i="1" l="1"/>
  <c r="F117" i="1" l="1"/>
  <c r="D11" i="13" l="1"/>
  <c r="D9" i="13"/>
  <c r="C37" i="12"/>
  <c r="C28" i="12"/>
  <c r="C30" i="12"/>
  <c r="C29" i="12"/>
  <c r="C19" i="12"/>
  <c r="C21" i="12"/>
  <c r="C20" i="12"/>
  <c r="C10" i="12"/>
  <c r="C12" i="12"/>
  <c r="C11" i="12"/>
  <c r="B10" i="12" l="1"/>
  <c r="B19" i="12"/>
  <c r="B21" i="12"/>
  <c r="B20" i="12"/>
  <c r="B28" i="12"/>
  <c r="B30" i="12"/>
  <c r="B37" i="12"/>
  <c r="B12" i="12"/>
  <c r="B29" i="12"/>
  <c r="F276" i="1"/>
  <c r="H110" i="1"/>
  <c r="H243" i="1"/>
  <c r="H319" i="1" l="1"/>
  <c r="J319" i="1"/>
  <c r="H300" i="1"/>
  <c r="J300" i="1"/>
  <c r="J276" i="1"/>
  <c r="H604" i="1"/>
  <c r="H281" i="1"/>
  <c r="I604" i="1"/>
  <c r="J604" i="1"/>
  <c r="J197" i="1"/>
  <c r="J592" i="1" l="1"/>
  <c r="I592" i="1"/>
  <c r="H592" i="1"/>
  <c r="F368" i="1"/>
  <c r="F367" i="1"/>
  <c r="G368" i="1"/>
  <c r="G367" i="1"/>
  <c r="H367" i="1"/>
  <c r="H368" i="1"/>
  <c r="G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H169" i="1" s="1"/>
  <c r="I147" i="1"/>
  <c r="I162" i="1"/>
  <c r="L250" i="1"/>
  <c r="L332" i="1"/>
  <c r="E113" i="2" s="1"/>
  <c r="L254" i="1"/>
  <c r="L268" i="1"/>
  <c r="C142" i="2" s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F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2" i="2"/>
  <c r="C113" i="2"/>
  <c r="D115" i="2"/>
  <c r="F115" i="2"/>
  <c r="G115" i="2"/>
  <c r="E121" i="2"/>
  <c r="E122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H644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F452" i="1"/>
  <c r="G452" i="1"/>
  <c r="H452" i="1"/>
  <c r="H461" i="1" s="1"/>
  <c r="H641" i="1" s="1"/>
  <c r="J641" i="1" s="1"/>
  <c r="F460" i="1"/>
  <c r="G460" i="1"/>
  <c r="H460" i="1"/>
  <c r="G461" i="1"/>
  <c r="H640" i="1" s="1"/>
  <c r="I470" i="1"/>
  <c r="J470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30" i="1"/>
  <c r="H631" i="1"/>
  <c r="G634" i="1"/>
  <c r="H635" i="1"/>
  <c r="H636" i="1"/>
  <c r="H637" i="1"/>
  <c r="H638" i="1"/>
  <c r="G641" i="1"/>
  <c r="G643" i="1"/>
  <c r="G644" i="1"/>
  <c r="J644" i="1" s="1"/>
  <c r="G645" i="1"/>
  <c r="G649" i="1"/>
  <c r="G652" i="1"/>
  <c r="H652" i="1"/>
  <c r="G653" i="1"/>
  <c r="H653" i="1"/>
  <c r="G654" i="1"/>
  <c r="H654" i="1"/>
  <c r="H655" i="1"/>
  <c r="D18" i="13"/>
  <c r="C18" i="13" s="1"/>
  <c r="D6" i="13"/>
  <c r="C6" i="13" s="1"/>
  <c r="F18" i="2"/>
  <c r="J476" i="1"/>
  <c r="H626" i="1" s="1"/>
  <c r="I476" i="1"/>
  <c r="H625" i="1" s="1"/>
  <c r="F169" i="1"/>
  <c r="H140" i="1"/>
  <c r="F22" i="13"/>
  <c r="C22" i="13" s="1"/>
  <c r="E16" i="13"/>
  <c r="C16" i="13" s="1"/>
  <c r="J655" i="1"/>
  <c r="I552" i="1" l="1"/>
  <c r="J545" i="1"/>
  <c r="K545" i="1"/>
  <c r="J571" i="1"/>
  <c r="K571" i="1"/>
  <c r="F571" i="1"/>
  <c r="L560" i="1"/>
  <c r="A13" i="12"/>
  <c r="J649" i="1"/>
  <c r="K598" i="1"/>
  <c r="G647" i="1" s="1"/>
  <c r="D31" i="2"/>
  <c r="J617" i="1"/>
  <c r="C18" i="2"/>
  <c r="D14" i="13"/>
  <c r="C14" i="13" s="1"/>
  <c r="C70" i="2"/>
  <c r="L229" i="1"/>
  <c r="G338" i="1"/>
  <c r="G352" i="1" s="1"/>
  <c r="C119" i="2"/>
  <c r="E62" i="2"/>
  <c r="D15" i="13"/>
  <c r="C15" i="13" s="1"/>
  <c r="H647" i="1"/>
  <c r="J338" i="1"/>
  <c r="J352" i="1" s="1"/>
  <c r="E13" i="13"/>
  <c r="C13" i="13" s="1"/>
  <c r="E114" i="2"/>
  <c r="E119" i="2"/>
  <c r="C123" i="2"/>
  <c r="L328" i="1"/>
  <c r="D12" i="13"/>
  <c r="C12" i="13" s="1"/>
  <c r="C120" i="2"/>
  <c r="C13" i="10"/>
  <c r="A40" i="12"/>
  <c r="A31" i="12"/>
  <c r="E118" i="2"/>
  <c r="H338" i="1"/>
  <c r="H352" i="1" s="1"/>
  <c r="G661" i="1"/>
  <c r="K257" i="1"/>
  <c r="K271" i="1" s="1"/>
  <c r="H112" i="1"/>
  <c r="H193" i="1" s="1"/>
  <c r="G192" i="1"/>
  <c r="J552" i="1"/>
  <c r="K551" i="1"/>
  <c r="I169" i="1"/>
  <c r="J140" i="1"/>
  <c r="C32" i="10"/>
  <c r="L351" i="1"/>
  <c r="H25" i="13"/>
  <c r="E131" i="2"/>
  <c r="C11" i="10"/>
  <c r="L290" i="1"/>
  <c r="C35" i="10"/>
  <c r="E8" i="13"/>
  <c r="C8" i="13" s="1"/>
  <c r="G545" i="1"/>
  <c r="L529" i="1"/>
  <c r="L433" i="1"/>
  <c r="C112" i="2"/>
  <c r="C91" i="2"/>
  <c r="E78" i="2"/>
  <c r="E81" i="2" s="1"/>
  <c r="E56" i="2"/>
  <c r="H661" i="1"/>
  <c r="C18" i="10"/>
  <c r="J634" i="1"/>
  <c r="F338" i="1"/>
  <c r="F352" i="1" s="1"/>
  <c r="G257" i="1"/>
  <c r="G271" i="1" s="1"/>
  <c r="J257" i="1"/>
  <c r="J271" i="1" s="1"/>
  <c r="L401" i="1"/>
  <c r="C139" i="2" s="1"/>
  <c r="F112" i="1"/>
  <c r="L544" i="1"/>
  <c r="C121" i="2"/>
  <c r="C114" i="2"/>
  <c r="D50" i="2"/>
  <c r="C17" i="10"/>
  <c r="C25" i="10"/>
  <c r="E132" i="2"/>
  <c r="F662" i="1"/>
  <c r="E124" i="2"/>
  <c r="E120" i="2"/>
  <c r="E111" i="2"/>
  <c r="C12" i="10"/>
  <c r="D127" i="2"/>
  <c r="D128" i="2" s="1"/>
  <c r="D145" i="2" s="1"/>
  <c r="D29" i="13"/>
  <c r="C29" i="13" s="1"/>
  <c r="F661" i="1"/>
  <c r="G651" i="1"/>
  <c r="J651" i="1" s="1"/>
  <c r="H662" i="1"/>
  <c r="L247" i="1"/>
  <c r="C10" i="10"/>
  <c r="C109" i="2"/>
  <c r="I257" i="1"/>
  <c r="I271" i="1" s="1"/>
  <c r="E103" i="2"/>
  <c r="F663" i="1"/>
  <c r="I663" i="1" s="1"/>
  <c r="L614" i="1"/>
  <c r="K550" i="1"/>
  <c r="L393" i="1"/>
  <c r="C138" i="2" s="1"/>
  <c r="L309" i="1"/>
  <c r="G660" i="1" s="1"/>
  <c r="D19" i="13"/>
  <c r="C19" i="13" s="1"/>
  <c r="G662" i="1"/>
  <c r="C21" i="10"/>
  <c r="C124" i="2"/>
  <c r="G650" i="1"/>
  <c r="J650" i="1" s="1"/>
  <c r="C20" i="10"/>
  <c r="C16" i="10"/>
  <c r="D7" i="13"/>
  <c r="C7" i="13" s="1"/>
  <c r="C15" i="10"/>
  <c r="C118" i="2"/>
  <c r="D5" i="13"/>
  <c r="C5" i="13" s="1"/>
  <c r="C19" i="10"/>
  <c r="C122" i="2"/>
  <c r="F130" i="2"/>
  <c r="F144" i="2" s="1"/>
  <c r="F145" i="2" s="1"/>
  <c r="L362" i="1"/>
  <c r="C27" i="10" s="1"/>
  <c r="J625" i="1"/>
  <c r="K605" i="1"/>
  <c r="G648" i="1" s="1"/>
  <c r="L570" i="1"/>
  <c r="H571" i="1"/>
  <c r="L565" i="1"/>
  <c r="I571" i="1"/>
  <c r="H52" i="1"/>
  <c r="H619" i="1" s="1"/>
  <c r="J619" i="1" s="1"/>
  <c r="G164" i="2"/>
  <c r="D18" i="2"/>
  <c r="H552" i="1"/>
  <c r="G552" i="1"/>
  <c r="F552" i="1"/>
  <c r="K549" i="1"/>
  <c r="I545" i="1"/>
  <c r="L524" i="1"/>
  <c r="H545" i="1"/>
  <c r="F461" i="1"/>
  <c r="H639" i="1" s="1"/>
  <c r="J639" i="1" s="1"/>
  <c r="J645" i="1"/>
  <c r="K338" i="1"/>
  <c r="K352" i="1" s="1"/>
  <c r="L256" i="1"/>
  <c r="F257" i="1"/>
  <c r="F271" i="1" s="1"/>
  <c r="H257" i="1"/>
  <c r="H271" i="1" s="1"/>
  <c r="G161" i="2"/>
  <c r="G156" i="2"/>
  <c r="D81" i="2"/>
  <c r="D62" i="2"/>
  <c r="D63" i="2" s="1"/>
  <c r="G624" i="1"/>
  <c r="L534" i="1"/>
  <c r="K500" i="1"/>
  <c r="I460" i="1"/>
  <c r="I452" i="1"/>
  <c r="I446" i="1"/>
  <c r="G642" i="1" s="1"/>
  <c r="C78" i="2"/>
  <c r="L211" i="1"/>
  <c r="C26" i="10"/>
  <c r="L539" i="1"/>
  <c r="K503" i="1"/>
  <c r="L382" i="1"/>
  <c r="G636" i="1" s="1"/>
  <c r="J636" i="1" s="1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L571" i="1" l="1"/>
  <c r="C81" i="2"/>
  <c r="C104" i="2" s="1"/>
  <c r="G629" i="1"/>
  <c r="H468" i="1"/>
  <c r="C36" i="10"/>
  <c r="J647" i="1"/>
  <c r="I662" i="1"/>
  <c r="F193" i="1"/>
  <c r="E63" i="2"/>
  <c r="E104" i="2" s="1"/>
  <c r="H648" i="1"/>
  <c r="J648" i="1" s="1"/>
  <c r="E128" i="2"/>
  <c r="E115" i="2"/>
  <c r="H660" i="1"/>
  <c r="H664" i="1" s="1"/>
  <c r="H672" i="1" s="1"/>
  <c r="C6" i="10" s="1"/>
  <c r="L257" i="1"/>
  <c r="L271" i="1" s="1"/>
  <c r="C128" i="2"/>
  <c r="G635" i="1"/>
  <c r="J635" i="1" s="1"/>
  <c r="E33" i="13"/>
  <c r="D35" i="13" s="1"/>
  <c r="D31" i="13"/>
  <c r="C31" i="13" s="1"/>
  <c r="C28" i="10"/>
  <c r="D22" i="10" s="1"/>
  <c r="G664" i="1"/>
  <c r="G667" i="1" s="1"/>
  <c r="L338" i="1"/>
  <c r="L352" i="1" s="1"/>
  <c r="D104" i="2"/>
  <c r="I461" i="1"/>
  <c r="H642" i="1" s="1"/>
  <c r="J642" i="1" s="1"/>
  <c r="C25" i="13"/>
  <c r="H33" i="13"/>
  <c r="C115" i="2"/>
  <c r="K552" i="1"/>
  <c r="F104" i="2"/>
  <c r="I661" i="1"/>
  <c r="F660" i="1"/>
  <c r="L408" i="1"/>
  <c r="L545" i="1"/>
  <c r="C51" i="2"/>
  <c r="G631" i="1"/>
  <c r="J631" i="1" s="1"/>
  <c r="G193" i="1"/>
  <c r="G626" i="1"/>
  <c r="J626" i="1" s="1"/>
  <c r="J52" i="1"/>
  <c r="H621" i="1" s="1"/>
  <c r="J621" i="1" s="1"/>
  <c r="C38" i="10"/>
  <c r="H470" i="1" l="1"/>
  <c r="H629" i="1"/>
  <c r="J629" i="1" s="1"/>
  <c r="G628" i="1"/>
  <c r="G468" i="1"/>
  <c r="G627" i="1"/>
  <c r="F468" i="1"/>
  <c r="G633" i="1"/>
  <c r="H472" i="1"/>
  <c r="G632" i="1"/>
  <c r="F472" i="1"/>
  <c r="E145" i="2"/>
  <c r="D33" i="13"/>
  <c r="D36" i="13" s="1"/>
  <c r="H667" i="1"/>
  <c r="C145" i="2"/>
  <c r="D23" i="10"/>
  <c r="D27" i="10"/>
  <c r="D10" i="10"/>
  <c r="D18" i="10"/>
  <c r="D17" i="10"/>
  <c r="D24" i="10"/>
  <c r="C30" i="10"/>
  <c r="D20" i="10"/>
  <c r="D12" i="10"/>
  <c r="D26" i="10"/>
  <c r="D16" i="10"/>
  <c r="D15" i="10"/>
  <c r="D25" i="10"/>
  <c r="D19" i="10"/>
  <c r="D13" i="10"/>
  <c r="D11" i="10"/>
  <c r="D21" i="10"/>
  <c r="G672" i="1"/>
  <c r="C5" i="10" s="1"/>
  <c r="G637" i="1"/>
  <c r="J637" i="1" s="1"/>
  <c r="H646" i="1"/>
  <c r="J646" i="1" s="1"/>
  <c r="F664" i="1"/>
  <c r="I660" i="1"/>
  <c r="I664" i="1" s="1"/>
  <c r="I672" i="1" s="1"/>
  <c r="C7" i="10" s="1"/>
  <c r="C41" i="10"/>
  <c r="D38" i="10" s="1"/>
  <c r="H628" i="1" l="1"/>
  <c r="J628" i="1" s="1"/>
  <c r="G470" i="1"/>
  <c r="G476" i="1" s="1"/>
  <c r="H623" i="1" s="1"/>
  <c r="J623" i="1" s="1"/>
  <c r="H627" i="1"/>
  <c r="J627" i="1" s="1"/>
  <c r="F470" i="1"/>
  <c r="H474" i="1"/>
  <c r="H476" i="1" s="1"/>
  <c r="H624" i="1" s="1"/>
  <c r="J624" i="1" s="1"/>
  <c r="H633" i="1"/>
  <c r="J633" i="1" s="1"/>
  <c r="H632" i="1"/>
  <c r="J632" i="1" s="1"/>
  <c r="F474" i="1"/>
  <c r="D28" i="10"/>
  <c r="I667" i="1"/>
  <c r="F672" i="1"/>
  <c r="C4" i="10" s="1"/>
  <c r="F667" i="1"/>
  <c r="D37" i="10"/>
  <c r="D36" i="10"/>
  <c r="D35" i="10"/>
  <c r="D40" i="10"/>
  <c r="D39" i="10"/>
  <c r="F476" i="1" l="1"/>
  <c r="H622" i="1" s="1"/>
  <c r="J622" i="1" s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<sst xmlns="http://schemas.openxmlformats.org/spreadsheetml/2006/main" count="3957" uniqueCount="913">
  <si>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</si>
  <si>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</si>
  <si>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</si>
  <si>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</si>
  <si>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</si>
  <si>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</si>
  <si>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</si>
  <si>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</si>
  <si>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</si>
  <si>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</si>
  <si>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</si>
  <si>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</si>
  <si>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</si>
  <si>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</si>
  <si>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</si>
  <si>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</si>
  <si>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</si>
  <si>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</si>
  <si>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</si>
  <si>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</si>
  <si>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</si>
  <si>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</si>
  <si>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</si>
  <si>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</si>
  <si>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</si>
  <si>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</si>
  <si>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</si>
  <si>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</si>
  <si>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</si>
  <si>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</si>
  <si>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</si>
  <si>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</si>
  <si>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</si>
  <si>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</si>
  <si>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</si>
  <si>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</si>
  <si>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</si>
  <si>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</si>
  <si>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</si>
  <si>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</si>
  <si>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</si>
  <si>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</si>
  <si>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</si>
  <si>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</si>
  <si>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</si>
  <si>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</si>
  <si>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</si>
  <si>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</si>
  <si>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</si>
  <si>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</si>
  <si>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</si>
  <si>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</si>
  <si>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</si>
  <si>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</si>
  <si>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</si>
  <si>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</si>
  <si>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</si>
  <si>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</si>
  <si>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</si>
  <si>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</si>
  <si>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</si>
  <si>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</si>
  <si>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</si>
  <si>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</si>
  <si>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</si>
  <si>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</si>
  <si>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</si>
  <si>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</si>
  <si>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</si>
  <si>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</si>
  <si>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</si>
  <si>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</si>
  <si>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</si>
  <si>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</si>
  <si>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</si>
  <si>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</si>
  <si>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</si>
  <si>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</si>
  <si>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</si>
  <si>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</si>
  <si>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</si>
  <si>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</si>
  <si>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</si>
  <si>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</si>
  <si>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</si>
  <si>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</si>
  <si>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</si>
  <si>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</si>
  <si>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</si>
  <si>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</si>
  <si>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</si>
  <si>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</si>
  <si>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</si>
  <si>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</si>
  <si>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</si>
  <si>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</si>
  <si>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</si>
  <si>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</si>
  <si>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</si>
  <si>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</si>
  <si>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</si>
  <si>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</si>
  <si>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</si>
  <si>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</si>
  <si>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</si>
  <si>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</si>
  <si>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</si>
  <si>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</si>
  <si>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</si>
  <si>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</si>
  <si>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</si>
  <si>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</si>
  <si>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</si>
  <si>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</si>
  <si>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</si>
  <si>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</si>
  <si>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</si>
  <si>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</si>
  <si>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</si>
  <si>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</si>
  <si>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</si>
  <si>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</si>
  <si>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</si>
  <si>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</si>
  <si>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</si>
  <si>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</si>
  <si>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</si>
  <si>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</si>
  <si>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</si>
  <si>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</si>
  <si>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</si>
  <si>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</si>
  <si>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</si>
  <si>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</si>
  <si>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</si>
  <si>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</si>
  <si>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</si>
  <si>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</si>
  <si>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</si>
  <si>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</si>
  <si>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</si>
  <si>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</si>
  <si>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</si>
  <si>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</si>
  <si>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</si>
  <si>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</si>
  <si>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</si>
  <si>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</si>
  <si>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</si>
  <si>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</si>
  <si>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</si>
  <si>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</si>
  <si>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</si>
  <si>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</si>
  <si>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</si>
  <si>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</si>
  <si>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</si>
  <si>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</si>
  <si>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</si>
  <si>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</si>
  <si>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</si>
  <si>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</si>
  <si>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</si>
  <si>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</si>
  <si>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</si>
  <si>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</si>
  <si>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</si>
  <si>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</si>
  <si>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</si>
  <si>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</si>
  <si>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</si>
  <si>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</si>
  <si>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</si>
  <si>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</si>
  <si>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</si>
  <si>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</si>
  <si>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</si>
  <si>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</si>
  <si>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</si>
  <si>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</si>
  <si>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</si>
  <si>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</si>
  <si>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</si>
  <si>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</si>
  <si>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</si>
  <si>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</si>
  <si>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</si>
  <si>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</si>
  <si>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</si>
  <si>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</si>
  <si>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</si>
  <si>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</si>
  <si>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</si>
  <si>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</si>
  <si>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</si>
  <si>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</si>
  <si>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</si>
  <si>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</si>
  <si>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</si>
  <si>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</si>
  <si>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</si>
  <si>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</si>
  <si>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</si>
  <si>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</si>
  <si>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</si>
  <si>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</si>
  <si>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</si>
  <si>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</si>
  <si>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</si>
  <si>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</si>
  <si>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</si>
  <si>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</si>
  <si>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</si>
  <si>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</si>
  <si>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</si>
  <si>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</si>
  <si>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</si>
  <si>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</si>
  <si>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</si>
  <si>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</si>
  <si>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</si>
  <si>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</si>
  <si>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</si>
  <si>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</si>
  <si>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</si>
  <si>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</si>
  <si>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</si>
  <si>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</si>
  <si>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</si>
  <si>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</si>
  <si>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</si>
  <si>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</si>
  <si>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</si>
  <si>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</si>
  <si>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</si>
  <si>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</si>
  <si>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</si>
  <si>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</si>
  <si>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</si>
  <si>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</si>
  <si>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</si>
  <si>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</si>
  <si>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</si>
  <si>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</si>
  <si>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</si>
  <si>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</si>
  <si>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</si>
  <si>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</si>
  <si>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</si>
  <si>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</si>
  <si>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</si>
  <si>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</si>
  <si>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</si>
  <si>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</si>
  <si>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</si>
  <si>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</si>
  <si>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</si>
  <si>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</si>
  <si>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</si>
  <si>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</si>
  <si>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</si>
  <si>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</si>
  <si>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</si>
  <si>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</si>
  <si>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</si>
  <si>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</si>
  <si>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</si>
  <si>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</si>
  <si>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</si>
  <si>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</si>
  <si>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</si>
  <si>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</si>
  <si>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</si>
  <si>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</si>
  <si>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</si>
  <si>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</si>
  <si>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</si>
  <si>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</si>
  <si>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</si>
  <si>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</si>
  <si>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</si>
  <si>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</si>
  <si>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</si>
  <si>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</si>
  <si>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</si>
  <si>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</si>
  <si>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</si>
  <si>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</si>
  <si>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</si>
  <si>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</si>
  <si>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</si>
  <si>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</si>
  <si>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</si>
  <si>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</si>
  <si>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</si>
  <si>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</si>
  <si>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</si>
  <si>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</si>
  <si>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</si>
  <si>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</si>
  <si>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</si>
  <si>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</si>
  <si>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</si>
  <si>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</si>
  <si>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</si>
  <si>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</si>
  <si>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</si>
  <si>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</si>
  <si>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</si>
  <si>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</si>
  <si>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</si>
  <si>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</si>
  <si>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</si>
  <si>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</si>
  <si>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</si>
  <si>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</si>
  <si>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</si>
  <si>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</si>
  <si>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</si>
  <si>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</si>
  <si>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</si>
  <si>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</si>
  <si>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</si>
  <si>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</si>
  <si>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</si>
  <si>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</si>
  <si>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</si>
  <si>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</si>
  <si>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</si>
  <si>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</si>
  <si>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</si>
  <si>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</si>
  <si>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</si>
  <si>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</si>
  <si>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</si>
  <si>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</si>
  <si>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</si>
  <si>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</si>
  <si>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</si>
  <si>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</si>
  <si>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</si>
  <si>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</si>
  <si>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</si>
  <si>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</si>
  <si>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</si>
  <si>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</si>
  <si>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</si>
  <si>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</si>
  <si>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</si>
  <si>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</si>
  <si>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</si>
  <si>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</si>
  <si>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</si>
  <si>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</si>
  <si>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</si>
  <si>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</si>
  <si>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</si>
  <si>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</si>
  <si>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</si>
  <si>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</si>
  <si>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</si>
  <si>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</si>
  <si>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</si>
  <si>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</si>
  <si>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</si>
  <si>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</si>
  <si>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</si>
  <si>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</si>
  <si>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</si>
  <si>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</si>
  <si>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</si>
  <si>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</si>
  <si>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</si>
  <si>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</si>
  <si>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</si>
  <si>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</si>
  <si>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</si>
  <si>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</si>
  <si>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</si>
  <si>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</si>
  <si>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</si>
  <si>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</si>
  <si>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</si>
  <si>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</si>
  <si>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</si>
  <si>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</si>
  <si>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</si>
  <si>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</si>
  <si>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</si>
  <si>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</si>
  <si>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</si>
  <si>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</si>
  <si>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</si>
  <si>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</si>
  <si>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</si>
  <si>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</si>
  <si>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</si>
  <si>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</si>
  <si>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</si>
  <si>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</si>
  <si>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</si>
  <si>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</si>
  <si>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</si>
  <si>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</si>
  <si>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</si>
  <si>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</si>
  <si>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</si>
  <si>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</si>
  <si>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</si>
  <si>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</si>
  <si>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</si>
  <si>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</si>
  <si>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</si>
  <si>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</si>
  <si>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</si>
  <si>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</si>
  <si>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</si>
  <si>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</si>
  <si>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</si>
  <si>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</si>
  <si>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</si>
  <si>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</si>
  <si>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</si>
  <si>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</si>
  <si>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</si>
  <si>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</si>
  <si>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</si>
  <si>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</si>
  <si>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</si>
  <si>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</si>
  <si>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</si>
  <si>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</si>
  <si>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</si>
  <si>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</si>
  <si>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</si>
  <si>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</si>
  <si>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</si>
  <si>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</si>
  <si>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</si>
  <si>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</si>
  <si>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</si>
  <si>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</si>
  <si>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</si>
  <si>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</si>
  <si>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</si>
  <si>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</si>
  <si>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</si>
  <si>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</si>
  <si>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</si>
  <si>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</si>
  <si>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</si>
  <si>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</si>
  <si>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</si>
  <si>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</si>
  <si>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</si>
  <si>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</si>
  <si>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</si>
  <si>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</si>
  <si>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</si>
  <si>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</si>
  <si>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</si>
  <si>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</si>
  <si>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</si>
  <si>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</si>
  <si>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</si>
  <si>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</si>
  <si>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</si>
  <si>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</si>
  <si>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</si>
  <si>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</si>
  <si>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</si>
  <si>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</si>
  <si>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</si>
  <si>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</si>
  <si>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</si>
  <si>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</si>
  <si>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</si>
  <si>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</si>
  <si>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</si>
  <si>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</si>
  <si>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</si>
  <si>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</si>
  <si>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</si>
  <si>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</si>
  <si>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</si>
  <si>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</si>
  <si>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</si>
  <si>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</si>
  <si>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</si>
  <si>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</si>
  <si>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</si>
  <si>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</si>
  <si>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</si>
  <si>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</si>
  <si>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</si>
  <si>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</si>
  <si>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</si>
  <si>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</si>
  <si>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</si>
  <si>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</si>
  <si>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</si>
  <si>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</si>
  <si>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</si>
  <si>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</si>
  <si>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</si>
  <si>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</si>
  <si>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</si>
  <si>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</si>
  <si>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</si>
  <si>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</si>
  <si>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</si>
  <si>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</si>
  <si>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</si>
  <si>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</si>
  <si>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</si>
  <si>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</si>
  <si>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</si>
  <si>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</si>
  <si>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</si>
  <si>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</si>
  <si>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</si>
  <si>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</si>
  <si>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</si>
  <si>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</si>
  <si>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</si>
  <si>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</si>
  <si>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</si>
  <si>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</si>
  <si>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</si>
  <si>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</si>
  <si>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</si>
  <si>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</si>
  <si>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</si>
  <si>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</si>
  <si>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</si>
  <si>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</si>
  <si>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</si>
  <si>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</si>
  <si>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</si>
  <si>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</si>
  <si>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</si>
  <si>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</si>
  <si>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</si>
  <si>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</si>
  <si>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</si>
  <si>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</si>
  <si>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</si>
  <si>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</si>
  <si>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</si>
  <si>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</si>
  <si>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</si>
  <si>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</si>
  <si>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</si>
  <si>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</si>
  <si>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</si>
  <si>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</si>
  <si>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</si>
  <si>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</si>
  <si>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</si>
  <si>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</si>
  <si>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</si>
  <si>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</si>
  <si>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</si>
  <si>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</si>
  <si>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</si>
  <si>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</si>
  <si>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</si>
  <si>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</si>
  <si>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</si>
  <si>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</si>
  <si>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</si>
  <si>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</si>
  <si>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</si>
  <si>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</si>
  <si>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</si>
  <si>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</si>
  <si>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</si>
  <si>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</si>
  <si>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</si>
  <si>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</si>
  <si>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</si>
  <si>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</si>
  <si>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</si>
  <si>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</si>
  <si>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</si>
  <si>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</si>
  <si>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</si>
  <si>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</si>
  <si>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</si>
  <si>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</si>
  <si>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</si>
  <si>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</si>
  <si>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</si>
  <si>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</si>
  <si>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</si>
  <si>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</si>
  <si>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</si>
  <si>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</si>
  <si>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</si>
  <si>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</si>
  <si>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</si>
  <si>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</si>
  <si>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</si>
  <si>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</si>
  <si>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</si>
  <si>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</si>
  <si>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</si>
  <si>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</si>
  <si>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</si>
  <si>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</si>
  <si>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</si>
  <si>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</si>
  <si>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</si>
  <si>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</si>
  <si>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</si>
  <si>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</si>
  <si>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</si>
  <si>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</si>
  <si>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</si>
  <si>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</si>
  <si>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</si>
  <si>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</si>
  <si>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</si>
  <si>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</si>
  <si>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</si>
  <si>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</si>
  <si>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</si>
  <si>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</si>
  <si>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</si>
  <si>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</si>
  <si>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</si>
  <si>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</si>
  <si>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</si>
  <si>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</si>
  <si>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</si>
  <si>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</si>
  <si>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</si>
  <si>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</si>
  <si>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</si>
  <si>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</si>
  <si>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</si>
  <si>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</si>
  <si>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</si>
  <si>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</si>
  <si>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</si>
  <si>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</si>
  <si>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</si>
  <si>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</si>
  <si>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</si>
  <si>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</si>
  <si>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</si>
  <si>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</si>
  <si>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</si>
  <si>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</si>
  <si>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</si>
  <si>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</si>
  <si>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</si>
  <si>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</si>
  <si>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</si>
  <si>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</si>
  <si>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</si>
  <si>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</si>
  <si>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</si>
  <si>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</si>
  <si>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</si>
  <si>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</si>
  <si>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</si>
  <si>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</si>
  <si>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</si>
  <si>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</si>
  <si>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</si>
  <si>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</si>
  <si>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</si>
  <si>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</si>
  <si>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</si>
  <si>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</si>
  <si>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</si>
  <si>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</si>
  <si>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</si>
  <si>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</si>
  <si>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</si>
  <si>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</si>
  <si>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</si>
  <si>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</si>
  <si>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</si>
  <si>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</si>
  <si>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</si>
  <si>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</si>
  <si>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</si>
  <si>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</si>
  <si>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</si>
  <si>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</si>
  <si>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</si>
  <si>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</si>
  <si>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</si>
  <si>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</si>
  <si>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</si>
  <si>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</si>
  <si>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</si>
  <si>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</si>
  <si>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</si>
  <si>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</si>
  <si>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</si>
  <si>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</si>
  <si>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</si>
  <si>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</si>
  <si>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</si>
  <si>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</si>
  <si>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</si>
  <si>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</si>
  <si>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</si>
  <si>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</si>
  <si>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</si>
  <si>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</si>
  <si>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</si>
  <si>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</si>
  <si>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</si>
  <si>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</si>
  <si>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</si>
  <si>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</si>
  <si>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</si>
  <si>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</si>
  <si>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</si>
  <si>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</si>
  <si>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</si>
  <si>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</si>
  <si>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</si>
  <si>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</si>
  <si>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</si>
  <si>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</si>
  <si>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</si>
  <si>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</si>
  <si>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</si>
  <si>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</si>
  <si>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</si>
  <si>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</si>
  <si>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</si>
  <si>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</si>
  <si>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</si>
  <si>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</si>
  <si>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</si>
  <si>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</si>
  <si>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</si>
  <si>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</si>
  <si>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</si>
  <si>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</si>
  <si>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</si>
  <si>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</si>
  <si>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</si>
  <si>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</si>
  <si>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</si>
  <si>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</si>
  <si>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</si>
  <si>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</si>
  <si>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</si>
  <si>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</si>
  <si>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</si>
  <si>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</si>
  <si>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</si>
  <si>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</si>
  <si>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</si>
  <si>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</si>
  <si>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</si>
  <si>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</si>
  <si>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</si>
  <si>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</si>
  <si>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</si>
  <si>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</si>
  <si>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</si>
  <si>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</si>
  <si>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</si>
  <si>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</si>
  <si>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</si>
  <si>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</si>
  <si>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</si>
  <si>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</si>
  <si>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</si>
  <si>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</si>
  <si>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</si>
  <si>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</si>
  <si>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</si>
  <si>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</si>
  <si>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</si>
  <si>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</si>
  <si>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</si>
  <si>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</si>
  <si>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</si>
  <si>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</si>
  <si>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</si>
  <si>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</si>
  <si>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</si>
  <si>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</si>
  <si>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</si>
  <si>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</si>
  <si>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</si>
  <si>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</si>
  <si>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</si>
  <si>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</si>
  <si>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</si>
  <si>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</si>
  <si>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</si>
  <si>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</si>
  <si>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</si>
  <si>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</si>
  <si>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</si>
  <si>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</si>
  <si>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</si>
  <si>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</si>
  <si>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</si>
  <si>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</si>
  <si>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</si>
  <si>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</si>
  <si>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</si>
  <si>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</si>
  <si>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</si>
  <si>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</si>
  <si>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</si>
  <si>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</si>
  <si>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</si>
  <si>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</si>
  <si>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</si>
  <si>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</si>
  <si>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</si>
  <si>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</si>
  <si>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</si>
  <si>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</si>
  <si>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</si>
  <si>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</si>
  <si>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</si>
  <si>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</si>
  <si>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</si>
  <si>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</si>
  <si>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</si>
  <si>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</si>
  <si>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</si>
  <si>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</si>
  <si>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</si>
  <si>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</si>
  <si>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</si>
  <si>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</si>
  <si>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</si>
  <si>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</si>
  <si>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</si>
  <si>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</si>
  <si>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</si>
  <si>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</si>
  <si>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</si>
  <si>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</si>
  <si>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</si>
  <si>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</si>
  <si>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</si>
  <si>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</si>
  <si>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</si>
  <si>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</si>
  <si>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</si>
  <si>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</si>
  <si>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</si>
  <si>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</si>
  <si>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</si>
  <si>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</si>
  <si>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</si>
  <si>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</si>
  <si>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</si>
  <si>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</si>
  <si>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</si>
  <si>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</si>
  <si>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</si>
  <si>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</si>
  <si>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</si>
  <si>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</si>
  <si>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</si>
  <si>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</si>
  <si>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</si>
  <si>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</si>
  <si>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</si>
  <si>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</si>
  <si>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</si>
  <si>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</si>
  <si>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</si>
  <si>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</si>
  <si>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</si>
  <si>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</si>
  <si>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</si>
  <si>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</si>
  <si>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</si>
  <si>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</si>
  <si>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</si>
  <si>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</si>
  <si>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</si>
  <si>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</si>
  <si>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</si>
  <si>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</si>
  <si>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</si>
  <si>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</si>
  <si>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</si>
  <si>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</si>
  <si>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</si>
  <si>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</si>
  <si>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</si>
  <si>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</si>
  <si>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</si>
  <si>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</si>
  <si>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</si>
  <si>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</si>
  <si>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</si>
  <si>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</si>
  <si>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</si>
  <si>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</si>
  <si>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</si>
  <si>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</si>
  <si>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</si>
  <si>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</si>
  <si>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Laconia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</si>
</sst>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285</v>
      </c>
      <c r="C2" s="21">
        <v>285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2511.4</v>
      </c>
      <c r="G9" s="18">
        <v>400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2771319.29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45164.28</v>
      </c>
      <c r="H12" s="18">
        <v>1127562.6499999999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1034748.79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12434.06</v>
      </c>
      <c r="G14" s="18">
        <v>517.20000000000005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22200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13118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10000</v>
      </c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3844131.54</v>
      </c>
      <c r="G19" s="41">
        <f>SUM(G9:G18)</f>
        <v>68281.48</v>
      </c>
      <c r="H19" s="41">
        <f>SUM(H9:H18)</f>
        <v>1127562.6499999999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56910.07</v>
      </c>
      <c r="H22" s="18">
        <v>746487.62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3447510.92</v>
      </c>
      <c r="G24" s="18">
        <v>9341.68</v>
      </c>
      <c r="H24" s="18">
        <v>147623.14000000001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30974.98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440</v>
      </c>
      <c r="G30" s="18"/>
      <c r="H30" s="18">
        <v>233451.89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365205.64</v>
      </c>
      <c r="G31" s="18">
        <v>2029.73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3844131.54</v>
      </c>
      <c r="G32" s="41">
        <f>SUM(G22:G31)</f>
        <v>68281.48</v>
      </c>
      <c r="H32" s="41">
        <f>SUM(H22:H31)</f>
        <v>1127562.6499999999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/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3844131.54</v>
      </c>
      <c r="G52" s="41">
        <f>G51+G32</f>
        <v>68281.48</v>
      </c>
      <c r="H52" s="41">
        <f>H51+H32</f>
        <v>1127562.6499999999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19273229.670000002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19273229.670000002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82241.19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f>385127.45+33827.65</f>
        <v>418955.10000000003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60118.26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561314.55000000005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387584.14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4501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12126.25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14971.14</v>
      </c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61360.65</v>
      </c>
      <c r="G110" s="18"/>
      <c r="H110" s="18">
        <f>170608.99+127.52</f>
        <v>170736.50999999998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92959.040000000008</v>
      </c>
      <c r="G111" s="41">
        <f>SUM(G96:G110)</f>
        <v>387584.14</v>
      </c>
      <c r="H111" s="41">
        <f>SUM(H96:H110)</f>
        <v>170736.50999999998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19927503.260000002</v>
      </c>
      <c r="G112" s="41">
        <f>G60+G111</f>
        <v>387584.14</v>
      </c>
      <c r="H112" s="41">
        <f>H60+H79+H94+H111</f>
        <v>170736.50999999998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6108543.23-15092.04</f>
        <v>6093451.1900000004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4428543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15092.04</v>
      </c>
      <c r="G120" s="18">
        <v>84555</v>
      </c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10537086.23</v>
      </c>
      <c r="G121" s="41">
        <f>SUM(G117:G120)</f>
        <v>84555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722119.55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56115.67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f>1186143.31-33827.65</f>
        <v>1152315.6600000001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15633.62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1930550.8800000004</v>
      </c>
      <c r="G136" s="41">
        <f>SUM(G123:G135)</f>
        <v>15633.62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12467637.110000001</v>
      </c>
      <c r="G140" s="41">
        <f>G121+SUM(G136:G137)</f>
        <v>100188.62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94100.91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1168016.05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900276.95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178811.08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245277.83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751315.84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594363.54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481332.16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937588.29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481332.16</v>
      </c>
      <c r="G162" s="41">
        <f>SUM(G150:G161)</f>
        <v>751315.84</v>
      </c>
      <c r="H162" s="41">
        <f>SUM(H150:H161)</f>
        <v>4118434.6500000004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481332.16</v>
      </c>
      <c r="G169" s="41">
        <f>G147+G162+SUM(G163:G168)</f>
        <v>751315.84</v>
      </c>
      <c r="H169" s="41">
        <f>H147+H162+SUM(H163:H168)</f>
        <v>4118434.6500000004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>
        <v>830000</v>
      </c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830000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137342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137342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137342</v>
      </c>
      <c r="G192" s="41">
        <f>G183+SUM(G188:G191)</f>
        <v>0</v>
      </c>
      <c r="H192" s="41">
        <f>+H183+SUM(H188:H191)</f>
        <v>830000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33013814.530000005</v>
      </c>
      <c r="G193" s="47">
        <f>G112+G140+G169+G192</f>
        <v>1239088.6000000001</v>
      </c>
      <c r="H193" s="47">
        <f>H112+H140+H169+H192</f>
        <v>5119171.16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2808653.9</v>
      </c>
      <c r="G197" s="18">
        <v>1543618.55</v>
      </c>
      <c r="H197" s="18">
        <v>40502.94</v>
      </c>
      <c r="I197" s="18">
        <v>136775.41</v>
      </c>
      <c r="J197" s="18">
        <f>60522.29-127.52</f>
        <v>60394.770000000004</v>
      </c>
      <c r="K197" s="18"/>
      <c r="L197" s="19">
        <f>SUM(F197:K197)</f>
        <v>4589945.57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1546813.94</v>
      </c>
      <c r="G198" s="18">
        <v>842050.68</v>
      </c>
      <c r="H198" s="18">
        <v>782026.34</v>
      </c>
      <c r="I198" s="18">
        <v>25437.47</v>
      </c>
      <c r="J198" s="18">
        <v>5252.94</v>
      </c>
      <c r="K198" s="18">
        <v>1360</v>
      </c>
      <c r="L198" s="19">
        <f>SUM(F198:K198)</f>
        <v>3202941.37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>
        <v>5077.6000000000004</v>
      </c>
      <c r="H200" s="18"/>
      <c r="I200" s="18"/>
      <c r="J200" s="18"/>
      <c r="K200" s="18"/>
      <c r="L200" s="19">
        <f>SUM(F200:K200)</f>
        <v>5077.6000000000004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548952.48</v>
      </c>
      <c r="G202" s="18">
        <v>297045.02</v>
      </c>
      <c r="H202" s="18">
        <v>87322.83</v>
      </c>
      <c r="I202" s="18">
        <v>12637.51</v>
      </c>
      <c r="J202" s="18">
        <v>4804.88</v>
      </c>
      <c r="K202" s="18"/>
      <c r="L202" s="19">
        <f t="shared" ref="L202:L208" si="0">SUM(F202:K202)</f>
        <v>950762.72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207503.55</v>
      </c>
      <c r="G203" s="18">
        <v>169120.77</v>
      </c>
      <c r="H203" s="18">
        <v>85330.31</v>
      </c>
      <c r="I203" s="18">
        <v>85084.24</v>
      </c>
      <c r="J203" s="18">
        <v>122880.1</v>
      </c>
      <c r="K203" s="18">
        <v>76.5</v>
      </c>
      <c r="L203" s="19">
        <f t="shared" si="0"/>
        <v>669995.47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254648.89</v>
      </c>
      <c r="G204" s="18">
        <v>135712.57</v>
      </c>
      <c r="H204" s="18">
        <v>60658.79</v>
      </c>
      <c r="I204" s="18">
        <v>4625.55</v>
      </c>
      <c r="J204" s="18"/>
      <c r="K204" s="18">
        <v>23195.15</v>
      </c>
      <c r="L204" s="19">
        <f t="shared" si="0"/>
        <v>478840.95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476416.08</v>
      </c>
      <c r="G205" s="18">
        <v>314585.53000000003</v>
      </c>
      <c r="H205" s="18">
        <v>10712.23</v>
      </c>
      <c r="I205" s="18">
        <v>5128.25</v>
      </c>
      <c r="J205" s="18"/>
      <c r="K205" s="18">
        <v>2308</v>
      </c>
      <c r="L205" s="19">
        <f t="shared" si="0"/>
        <v>809150.09000000008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138810.01</v>
      </c>
      <c r="G206" s="18">
        <v>66856.28</v>
      </c>
      <c r="H206" s="18">
        <v>7045.74</v>
      </c>
      <c r="I206" s="18">
        <v>418.33</v>
      </c>
      <c r="J206" s="18">
        <v>1731.64</v>
      </c>
      <c r="K206" s="18"/>
      <c r="L206" s="19">
        <f t="shared" si="0"/>
        <v>214862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229825.44</v>
      </c>
      <c r="G207" s="18">
        <v>178565.53</v>
      </c>
      <c r="H207" s="18">
        <v>373433.96</v>
      </c>
      <c r="I207" s="18">
        <v>296536.15000000002</v>
      </c>
      <c r="J207" s="18">
        <v>6764.33</v>
      </c>
      <c r="K207" s="18"/>
      <c r="L207" s="19">
        <f t="shared" si="0"/>
        <v>1085125.4100000001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345111</v>
      </c>
      <c r="I208" s="18"/>
      <c r="J208" s="18"/>
      <c r="K208" s="18"/>
      <c r="L208" s="19">
        <f t="shared" si="0"/>
        <v>345111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6211624.29</v>
      </c>
      <c r="G211" s="41">
        <f t="shared" si="1"/>
        <v>3552632.5299999993</v>
      </c>
      <c r="H211" s="41">
        <f t="shared" si="1"/>
        <v>1792144.14</v>
      </c>
      <c r="I211" s="41">
        <f t="shared" si="1"/>
        <v>566642.91</v>
      </c>
      <c r="J211" s="41">
        <f t="shared" si="1"/>
        <v>201828.66</v>
      </c>
      <c r="K211" s="41">
        <f t="shared" si="1"/>
        <v>26939.65</v>
      </c>
      <c r="L211" s="41">
        <f t="shared" si="1"/>
        <v>12351812.18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1693631.41</v>
      </c>
      <c r="G215" s="18">
        <v>1054467.5</v>
      </c>
      <c r="H215" s="18">
        <v>16805.73</v>
      </c>
      <c r="I215" s="18">
        <v>57975.56</v>
      </c>
      <c r="J215" s="18">
        <v>23366.959999999999</v>
      </c>
      <c r="K215" s="18"/>
      <c r="L215" s="19">
        <f>SUM(F215:K215)</f>
        <v>2846247.16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815317.49</v>
      </c>
      <c r="G216" s="18">
        <v>431757.6</v>
      </c>
      <c r="H216" s="18">
        <v>301788.86</v>
      </c>
      <c r="I216" s="18">
        <v>2157.35</v>
      </c>
      <c r="J216" s="18"/>
      <c r="K216" s="18"/>
      <c r="L216" s="19">
        <f>SUM(F216:K216)</f>
        <v>1551021.2999999998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30152.27</v>
      </c>
      <c r="G218" s="18">
        <v>21157.06</v>
      </c>
      <c r="H218" s="18">
        <v>8268</v>
      </c>
      <c r="I218" s="18">
        <v>8058.1</v>
      </c>
      <c r="J218" s="18"/>
      <c r="K218" s="18"/>
      <c r="L218" s="19">
        <f>SUM(F218:K218)</f>
        <v>67635.430000000008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210888.8</v>
      </c>
      <c r="G220" s="18">
        <v>108324.12</v>
      </c>
      <c r="H220" s="18">
        <v>41931.269999999997</v>
      </c>
      <c r="I220" s="18">
        <v>2367.6</v>
      </c>
      <c r="J220" s="18"/>
      <c r="K220" s="18"/>
      <c r="L220" s="19">
        <f t="shared" ref="L220:L226" si="2">SUM(F220:K220)</f>
        <v>363511.79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119918.55</v>
      </c>
      <c r="G221" s="18">
        <v>88405.52</v>
      </c>
      <c r="H221" s="18">
        <v>49504.32</v>
      </c>
      <c r="I221" s="18">
        <v>40217.599999999999</v>
      </c>
      <c r="J221" s="18">
        <v>115671.59</v>
      </c>
      <c r="K221" s="18">
        <v>31.5</v>
      </c>
      <c r="L221" s="19">
        <f t="shared" si="2"/>
        <v>413749.07999999996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106149.99</v>
      </c>
      <c r="G222" s="18">
        <v>49195.53</v>
      </c>
      <c r="H222" s="18">
        <v>25557.45</v>
      </c>
      <c r="I222" s="18">
        <v>1904.63</v>
      </c>
      <c r="J222" s="18"/>
      <c r="K222" s="18">
        <v>7129.56</v>
      </c>
      <c r="L222" s="19">
        <f t="shared" si="2"/>
        <v>189937.16000000003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266932.81</v>
      </c>
      <c r="G223" s="18">
        <v>143636.56</v>
      </c>
      <c r="H223" s="18">
        <v>4728.01</v>
      </c>
      <c r="I223" s="18">
        <v>4766.6099999999997</v>
      </c>
      <c r="J223" s="18"/>
      <c r="K223" s="18">
        <v>2497.4499999999998</v>
      </c>
      <c r="L223" s="19">
        <f t="shared" si="2"/>
        <v>422561.44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56057.88</v>
      </c>
      <c r="G224" s="18">
        <v>27081.03</v>
      </c>
      <c r="H224" s="18">
        <v>2970.89</v>
      </c>
      <c r="I224" s="18">
        <v>172.25</v>
      </c>
      <c r="J224" s="18">
        <v>742.13</v>
      </c>
      <c r="K224" s="18"/>
      <c r="L224" s="19">
        <f t="shared" si="2"/>
        <v>87024.180000000008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179618.27</v>
      </c>
      <c r="G225" s="18">
        <v>115094.37</v>
      </c>
      <c r="H225" s="18">
        <v>701577.61</v>
      </c>
      <c r="I225" s="18">
        <v>252607.62</v>
      </c>
      <c r="J225" s="18">
        <v>3967.98</v>
      </c>
      <c r="K225" s="18"/>
      <c r="L225" s="19">
        <f t="shared" si="2"/>
        <v>1252865.8500000001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185033.47</v>
      </c>
      <c r="I226" s="18"/>
      <c r="J226" s="18"/>
      <c r="K226" s="18"/>
      <c r="L226" s="19">
        <f t="shared" si="2"/>
        <v>185033.47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3478667.4699999997</v>
      </c>
      <c r="G229" s="41">
        <f>SUM(G215:G228)</f>
        <v>2039119.2900000005</v>
      </c>
      <c r="H229" s="41">
        <f>SUM(H215:H228)</f>
        <v>1338165.6100000001</v>
      </c>
      <c r="I229" s="41">
        <f>SUM(I215:I228)</f>
        <v>370227.32</v>
      </c>
      <c r="J229" s="41">
        <f>SUM(J215:J228)</f>
        <v>143748.66</v>
      </c>
      <c r="K229" s="41">
        <f t="shared" si="3"/>
        <v>9658.51</v>
      </c>
      <c r="L229" s="41">
        <f t="shared" si="3"/>
        <v>7379586.8600000003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1894289.2</v>
      </c>
      <c r="G233" s="18">
        <v>1122170.07</v>
      </c>
      <c r="H233" s="18">
        <v>31042.3</v>
      </c>
      <c r="I233" s="18">
        <v>74515.55</v>
      </c>
      <c r="J233" s="18">
        <v>22227.38</v>
      </c>
      <c r="K233" s="18">
        <v>1206</v>
      </c>
      <c r="L233" s="19">
        <f>SUM(F233:K233)</f>
        <v>3145450.4999999995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783450.75</v>
      </c>
      <c r="G234" s="18">
        <v>445298.11</v>
      </c>
      <c r="H234" s="18">
        <v>458247.13</v>
      </c>
      <c r="I234" s="18">
        <v>14164.43</v>
      </c>
      <c r="J234" s="18">
        <v>2824.16</v>
      </c>
      <c r="K234" s="18">
        <v>530</v>
      </c>
      <c r="L234" s="19">
        <f>SUM(F234:K234)</f>
        <v>1704514.5799999996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835383.51</v>
      </c>
      <c r="G235" s="18">
        <v>516489.52</v>
      </c>
      <c r="H235" s="18">
        <v>83080.41</v>
      </c>
      <c r="I235" s="18">
        <v>48956.9</v>
      </c>
      <c r="J235" s="18">
        <v>2986.26</v>
      </c>
      <c r="K235" s="18">
        <v>250</v>
      </c>
      <c r="L235" s="19">
        <f>SUM(F235:K235)</f>
        <v>1487146.5999999999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140905</v>
      </c>
      <c r="G236" s="18">
        <v>85474.49</v>
      </c>
      <c r="H236" s="18">
        <v>66987.94</v>
      </c>
      <c r="I236" s="18">
        <v>19512.38</v>
      </c>
      <c r="J236" s="18"/>
      <c r="K236" s="18"/>
      <c r="L236" s="19">
        <f>SUM(F236:K236)</f>
        <v>312879.81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285071.98</v>
      </c>
      <c r="G238" s="18">
        <v>117633.22</v>
      </c>
      <c r="H238" s="18">
        <v>44311.9</v>
      </c>
      <c r="I238" s="18">
        <v>3406.15</v>
      </c>
      <c r="J238" s="18"/>
      <c r="K238" s="18"/>
      <c r="L238" s="19">
        <f t="shared" ref="L238:L244" si="4">SUM(F238:K238)</f>
        <v>450423.25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118316.84</v>
      </c>
      <c r="G239" s="18">
        <v>95306.51</v>
      </c>
      <c r="H239" s="18">
        <v>75057.58</v>
      </c>
      <c r="I239" s="18">
        <v>69331.570000000007</v>
      </c>
      <c r="J239" s="18">
        <v>59639.97</v>
      </c>
      <c r="K239" s="18">
        <v>42</v>
      </c>
      <c r="L239" s="19">
        <f t="shared" si="4"/>
        <v>417694.47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131537.22</v>
      </c>
      <c r="G240" s="18">
        <v>130438.6</v>
      </c>
      <c r="H240" s="18">
        <v>32147.53</v>
      </c>
      <c r="I240" s="18">
        <v>2539.52</v>
      </c>
      <c r="J240" s="18"/>
      <c r="K240" s="18">
        <v>7481.64</v>
      </c>
      <c r="L240" s="19">
        <f t="shared" si="4"/>
        <v>304144.51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345042.06</v>
      </c>
      <c r="G241" s="18">
        <v>182258.08</v>
      </c>
      <c r="H241" s="18">
        <v>17382.189999999999</v>
      </c>
      <c r="I241" s="18">
        <v>1194.77</v>
      </c>
      <c r="J241" s="18"/>
      <c r="K241" s="18">
        <v>8357.61</v>
      </c>
      <c r="L241" s="19">
        <f t="shared" si="4"/>
        <v>554234.71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72074.429999999993</v>
      </c>
      <c r="G242" s="18">
        <v>34697.57</v>
      </c>
      <c r="H242" s="18">
        <v>3916.19</v>
      </c>
      <c r="I242" s="18">
        <v>229.67</v>
      </c>
      <c r="J242" s="18">
        <v>1060.19</v>
      </c>
      <c r="K242" s="18"/>
      <c r="L242" s="19">
        <f t="shared" si="4"/>
        <v>111978.05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193541.59</v>
      </c>
      <c r="G243" s="18">
        <v>146406.79999999999</v>
      </c>
      <c r="H243" s="18">
        <f>249842.75+480.08</f>
        <v>250322.83</v>
      </c>
      <c r="I243" s="18">
        <v>290450.81</v>
      </c>
      <c r="J243" s="18">
        <v>6417.8</v>
      </c>
      <c r="K243" s="18"/>
      <c r="L243" s="19">
        <f t="shared" si="4"/>
        <v>887139.83000000007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99221.64</v>
      </c>
      <c r="I244" s="18"/>
      <c r="J244" s="18"/>
      <c r="K244" s="18"/>
      <c r="L244" s="19">
        <f t="shared" si="4"/>
        <v>99221.64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4799612.5799999991</v>
      </c>
      <c r="G247" s="41">
        <f t="shared" si="5"/>
        <v>2876172.97</v>
      </c>
      <c r="H247" s="41">
        <f t="shared" si="5"/>
        <v>1161717.6399999999</v>
      </c>
      <c r="I247" s="41">
        <f t="shared" si="5"/>
        <v>524301.75</v>
      </c>
      <c r="J247" s="41">
        <f t="shared" si="5"/>
        <v>95155.760000000009</v>
      </c>
      <c r="K247" s="41">
        <f t="shared" si="5"/>
        <v>17867.25</v>
      </c>
      <c r="L247" s="41">
        <f t="shared" si="5"/>
        <v>9474827.9499999993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145911.43</v>
      </c>
      <c r="G251" s="18">
        <v>90552.19</v>
      </c>
      <c r="H251" s="18">
        <v>9278.25</v>
      </c>
      <c r="I251" s="18">
        <v>16079.4</v>
      </c>
      <c r="J251" s="18">
        <v>2000</v>
      </c>
      <c r="K251" s="18">
        <v>1534</v>
      </c>
      <c r="L251" s="19">
        <f t="shared" si="6"/>
        <v>265355.27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175000</v>
      </c>
      <c r="I255" s="18"/>
      <c r="J255" s="18"/>
      <c r="K255" s="18"/>
      <c r="L255" s="19">
        <f t="shared" si="6"/>
        <v>175000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145911.43</v>
      </c>
      <c r="G256" s="41">
        <f t="shared" si="7"/>
        <v>90552.19</v>
      </c>
      <c r="H256" s="41">
        <f t="shared" si="7"/>
        <v>184278.25</v>
      </c>
      <c r="I256" s="41">
        <f t="shared" si="7"/>
        <v>16079.4</v>
      </c>
      <c r="J256" s="41">
        <f t="shared" si="7"/>
        <v>2000</v>
      </c>
      <c r="K256" s="41">
        <f t="shared" si="7"/>
        <v>1534</v>
      </c>
      <c r="L256" s="41">
        <f>SUM(F256:K256)</f>
        <v>440355.27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14635815.77</v>
      </c>
      <c r="G257" s="41">
        <f t="shared" si="8"/>
        <v>8558476.9800000004</v>
      </c>
      <c r="H257" s="41">
        <f t="shared" si="8"/>
        <v>4476305.6399999997</v>
      </c>
      <c r="I257" s="41">
        <f t="shared" si="8"/>
        <v>1477251.38</v>
      </c>
      <c r="J257" s="41">
        <f t="shared" si="8"/>
        <v>442733.08</v>
      </c>
      <c r="K257" s="41">
        <f t="shared" si="8"/>
        <v>55999.41</v>
      </c>
      <c r="L257" s="41">
        <f t="shared" si="8"/>
        <v>29646582.259999998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1824514.72</v>
      </c>
      <c r="L260" s="19">
        <f>SUM(F260:K260)</f>
        <v>1824514.72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712717.55</v>
      </c>
      <c r="L261" s="19">
        <f>SUM(F261:K261)</f>
        <v>712717.55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830000</v>
      </c>
      <c r="L264" s="19">
        <f t="shared" ref="L264:L270" si="9">SUM(F264:K264)</f>
        <v>830000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3367232.27</v>
      </c>
      <c r="L270" s="41">
        <f t="shared" si="9"/>
        <v>3367232.27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14635815.77</v>
      </c>
      <c r="G271" s="42">
        <f t="shared" si="11"/>
        <v>8558476.9800000004</v>
      </c>
      <c r="H271" s="42">
        <f t="shared" si="11"/>
        <v>4476305.6399999997</v>
      </c>
      <c r="I271" s="42">
        <f t="shared" si="11"/>
        <v>1477251.38</v>
      </c>
      <c r="J271" s="42">
        <f t="shared" si="11"/>
        <v>442733.08</v>
      </c>
      <c r="K271" s="42">
        <f t="shared" si="11"/>
        <v>3423231.68</v>
      </c>
      <c r="L271" s="42">
        <f t="shared" si="11"/>
        <v>33013814.529999997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783757.88-2667.48</f>
        <v>781090.4</v>
      </c>
      <c r="G276" s="18">
        <v>241089.31</v>
      </c>
      <c r="H276" s="18">
        <v>2016.7</v>
      </c>
      <c r="I276" s="18">
        <v>71540</v>
      </c>
      <c r="J276" s="18">
        <f>20025.35+127.52</f>
        <v>20152.87</v>
      </c>
      <c r="K276" s="18"/>
      <c r="L276" s="19">
        <f>SUM(F276:K276)</f>
        <v>1115889.28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75809.88</v>
      </c>
      <c r="G277" s="18">
        <v>50570.44</v>
      </c>
      <c r="H277" s="18">
        <v>9153</v>
      </c>
      <c r="I277" s="18">
        <v>1711.41</v>
      </c>
      <c r="J277" s="18">
        <v>3115.43</v>
      </c>
      <c r="K277" s="18"/>
      <c r="L277" s="19">
        <f>SUM(F277:K277)</f>
        <v>140360.16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20837.21</v>
      </c>
      <c r="G279" s="18"/>
      <c r="H279" s="18"/>
      <c r="I279" s="18"/>
      <c r="J279" s="18"/>
      <c r="K279" s="18"/>
      <c r="L279" s="19">
        <f>SUM(F279:K279)</f>
        <v>20837.21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203234.4</v>
      </c>
      <c r="G281" s="18">
        <v>12376.44</v>
      </c>
      <c r="H281" s="18">
        <f>139046.48+820</f>
        <v>139866.48000000001</v>
      </c>
      <c r="I281" s="18">
        <v>20155.14</v>
      </c>
      <c r="J281" s="18">
        <v>1500</v>
      </c>
      <c r="K281" s="18">
        <v>5173.09</v>
      </c>
      <c r="L281" s="19">
        <f t="shared" ref="L281:L287" si="12">SUM(F281:K281)</f>
        <v>382305.55000000005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112192.88</v>
      </c>
      <c r="G282" s="18">
        <v>73263.98</v>
      </c>
      <c r="H282" s="18">
        <v>222797.15</v>
      </c>
      <c r="I282" s="18">
        <v>15567.29</v>
      </c>
      <c r="J282" s="18"/>
      <c r="K282" s="18">
        <v>2662.68</v>
      </c>
      <c r="L282" s="19">
        <f t="shared" si="12"/>
        <v>426483.98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51671.199999999997</v>
      </c>
      <c r="G283" s="18">
        <v>4274.37</v>
      </c>
      <c r="H283" s="18">
        <v>25836.89</v>
      </c>
      <c r="I283" s="18"/>
      <c r="J283" s="18">
        <v>829.49</v>
      </c>
      <c r="K283" s="18"/>
      <c r="L283" s="19">
        <f t="shared" si="12"/>
        <v>82611.95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21129.71</v>
      </c>
      <c r="I287" s="18"/>
      <c r="J287" s="18"/>
      <c r="K287" s="18"/>
      <c r="L287" s="19">
        <f t="shared" si="12"/>
        <v>21129.71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1244835.97</v>
      </c>
      <c r="G290" s="42">
        <f t="shared" si="13"/>
        <v>381574.54</v>
      </c>
      <c r="H290" s="42">
        <f t="shared" si="13"/>
        <v>420799.93000000005</v>
      </c>
      <c r="I290" s="42">
        <f t="shared" si="13"/>
        <v>108973.84</v>
      </c>
      <c r="J290" s="42">
        <f t="shared" si="13"/>
        <v>25597.79</v>
      </c>
      <c r="K290" s="42">
        <f t="shared" si="13"/>
        <v>7835.77</v>
      </c>
      <c r="L290" s="41">
        <f t="shared" si="13"/>
        <v>2189617.84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63025.83</v>
      </c>
      <c r="G295" s="18">
        <v>73132.679999999993</v>
      </c>
      <c r="H295" s="18">
        <v>5397.6</v>
      </c>
      <c r="I295" s="18">
        <v>2795.77</v>
      </c>
      <c r="J295" s="18">
        <v>448.97</v>
      </c>
      <c r="K295" s="18"/>
      <c r="L295" s="19">
        <f>SUM(F295:K295)</f>
        <v>144800.85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387108.34</v>
      </c>
      <c r="G296" s="18">
        <v>20422.68</v>
      </c>
      <c r="H296" s="18">
        <v>350</v>
      </c>
      <c r="I296" s="18">
        <v>569.62</v>
      </c>
      <c r="J296" s="18">
        <v>337.03</v>
      </c>
      <c r="K296" s="18"/>
      <c r="L296" s="19">
        <f>SUM(F296:K296)</f>
        <v>408787.67000000004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61583.82</v>
      </c>
      <c r="G300" s="18">
        <v>6345.53</v>
      </c>
      <c r="H300" s="18">
        <f>69523.23+460</f>
        <v>69983.23</v>
      </c>
      <c r="I300" s="18">
        <v>10077.540000000001</v>
      </c>
      <c r="J300" s="18">
        <f>1210-460</f>
        <v>750</v>
      </c>
      <c r="K300" s="18">
        <v>2586.54</v>
      </c>
      <c r="L300" s="19">
        <f t="shared" ref="L300:L306" si="14">SUM(F300:K300)</f>
        <v>151326.66000000003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48958.55</v>
      </c>
      <c r="G301" s="18">
        <v>22129.62</v>
      </c>
      <c r="H301" s="18">
        <v>93013.82</v>
      </c>
      <c r="I301" s="18">
        <v>6398.7</v>
      </c>
      <c r="J301" s="18"/>
      <c r="K301" s="18">
        <v>1075.31</v>
      </c>
      <c r="L301" s="19">
        <f t="shared" si="14"/>
        <v>171576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25835.58</v>
      </c>
      <c r="G302" s="18">
        <v>867.88</v>
      </c>
      <c r="H302" s="18">
        <v>12918.41</v>
      </c>
      <c r="I302" s="18"/>
      <c r="J302" s="18">
        <v>414.74</v>
      </c>
      <c r="K302" s="18"/>
      <c r="L302" s="19">
        <f t="shared" si="14"/>
        <v>40036.61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10353.77</v>
      </c>
      <c r="I306" s="18"/>
      <c r="J306" s="18"/>
      <c r="K306" s="18"/>
      <c r="L306" s="19">
        <f t="shared" si="14"/>
        <v>10353.77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586512.12</v>
      </c>
      <c r="G309" s="42">
        <f t="shared" si="15"/>
        <v>122898.38999999998</v>
      </c>
      <c r="H309" s="42">
        <f t="shared" si="15"/>
        <v>192016.83000000002</v>
      </c>
      <c r="I309" s="42">
        <f t="shared" si="15"/>
        <v>19841.63</v>
      </c>
      <c r="J309" s="42">
        <f t="shared" si="15"/>
        <v>1950.74</v>
      </c>
      <c r="K309" s="42">
        <f t="shared" si="15"/>
        <v>3661.85</v>
      </c>
      <c r="L309" s="41">
        <f t="shared" si="15"/>
        <v>926881.56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152795.14000000001</v>
      </c>
      <c r="G314" s="18">
        <v>100184.74</v>
      </c>
      <c r="H314" s="18">
        <v>660.96</v>
      </c>
      <c r="I314" s="18">
        <v>9438.65</v>
      </c>
      <c r="J314" s="18"/>
      <c r="K314" s="18"/>
      <c r="L314" s="19">
        <f>SUM(F314:K314)</f>
        <v>263079.49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28222.58</v>
      </c>
      <c r="G315" s="18">
        <v>26415.53</v>
      </c>
      <c r="H315" s="18">
        <v>350</v>
      </c>
      <c r="I315" s="18">
        <v>582.91</v>
      </c>
      <c r="J315" s="18">
        <v>354.48</v>
      </c>
      <c r="K315" s="18"/>
      <c r="L315" s="19">
        <f>SUM(F315:K315)</f>
        <v>55925.500000000007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55016.12</v>
      </c>
      <c r="G316" s="18">
        <v>35512.97</v>
      </c>
      <c r="H316" s="18">
        <v>6734.98</v>
      </c>
      <c r="I316" s="18">
        <v>32261.87</v>
      </c>
      <c r="J316" s="18">
        <v>19692.07</v>
      </c>
      <c r="K316" s="18"/>
      <c r="L316" s="19">
        <f>SUM(F316:K316)</f>
        <v>149218.00999999998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65712.41</v>
      </c>
      <c r="G319" s="18">
        <v>8372.27</v>
      </c>
      <c r="H319" s="18">
        <f>75015.26+720</f>
        <v>75735.259999999995</v>
      </c>
      <c r="I319" s="18">
        <v>12226.07</v>
      </c>
      <c r="J319" s="18">
        <f>1470-720</f>
        <v>750</v>
      </c>
      <c r="K319" s="18">
        <v>2586.54</v>
      </c>
      <c r="L319" s="19">
        <f t="shared" ref="L319:L325" si="16">SUM(F319:K319)</f>
        <v>165382.55000000002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58063.93</v>
      </c>
      <c r="G320" s="18">
        <v>22718.560000000001</v>
      </c>
      <c r="H320" s="18">
        <v>111003.49</v>
      </c>
      <c r="I320" s="18">
        <v>7981.44</v>
      </c>
      <c r="J320" s="18"/>
      <c r="K320" s="18">
        <v>1382.55</v>
      </c>
      <c r="L320" s="19">
        <f t="shared" si="16"/>
        <v>201149.97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25835.599999999999</v>
      </c>
      <c r="G321" s="18">
        <v>867.89</v>
      </c>
      <c r="H321" s="18">
        <v>13457.29</v>
      </c>
      <c r="I321" s="18">
        <v>250</v>
      </c>
      <c r="J321" s="18">
        <v>414.74</v>
      </c>
      <c r="K321" s="18">
        <v>5789.75</v>
      </c>
      <c r="L321" s="19">
        <f t="shared" si="16"/>
        <v>46615.27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4457.3599999999997</v>
      </c>
      <c r="G325" s="18">
        <v>307.35000000000002</v>
      </c>
      <c r="H325" s="18">
        <v>10607.08</v>
      </c>
      <c r="I325" s="18">
        <v>1464.86</v>
      </c>
      <c r="J325" s="18"/>
      <c r="K325" s="18"/>
      <c r="L325" s="19">
        <f t="shared" si="16"/>
        <v>16836.650000000001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390103.13999999996</v>
      </c>
      <c r="G328" s="42">
        <f t="shared" si="17"/>
        <v>194379.31</v>
      </c>
      <c r="H328" s="42">
        <f t="shared" si="17"/>
        <v>218549.06</v>
      </c>
      <c r="I328" s="42">
        <f t="shared" si="17"/>
        <v>64205.8</v>
      </c>
      <c r="J328" s="42">
        <f t="shared" si="17"/>
        <v>21211.29</v>
      </c>
      <c r="K328" s="42">
        <f t="shared" si="17"/>
        <v>9758.84</v>
      </c>
      <c r="L328" s="41">
        <f t="shared" si="17"/>
        <v>898207.44000000006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26059.46</v>
      </c>
      <c r="G332" s="18">
        <v>1993.69</v>
      </c>
      <c r="H332" s="18"/>
      <c r="I332" s="18"/>
      <c r="J332" s="18"/>
      <c r="K332" s="18"/>
      <c r="L332" s="19">
        <f t="shared" ref="L332:L337" si="18">SUM(F332:K332)</f>
        <v>28053.149999999998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156054</v>
      </c>
      <c r="G333" s="18">
        <v>19738.79</v>
      </c>
      <c r="H333" s="18">
        <v>34791.980000000003</v>
      </c>
      <c r="I333" s="18">
        <v>35626.400000000001</v>
      </c>
      <c r="J333" s="18"/>
      <c r="K333" s="18">
        <v>200</v>
      </c>
      <c r="L333" s="19">
        <f t="shared" si="18"/>
        <v>246411.17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182113.46</v>
      </c>
      <c r="G337" s="41">
        <f t="shared" si="19"/>
        <v>21732.48</v>
      </c>
      <c r="H337" s="41">
        <f t="shared" si="19"/>
        <v>34791.980000000003</v>
      </c>
      <c r="I337" s="41">
        <f t="shared" si="19"/>
        <v>35626.400000000001</v>
      </c>
      <c r="J337" s="41">
        <f t="shared" si="19"/>
        <v>0</v>
      </c>
      <c r="K337" s="41">
        <f t="shared" si="19"/>
        <v>200</v>
      </c>
      <c r="L337" s="41">
        <f t="shared" si="18"/>
        <v>274464.32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2403564.69</v>
      </c>
      <c r="G338" s="41">
        <f t="shared" si="20"/>
        <v>720584.72</v>
      </c>
      <c r="H338" s="41">
        <f t="shared" si="20"/>
        <v>866157.8</v>
      </c>
      <c r="I338" s="41">
        <f t="shared" si="20"/>
        <v>228647.67</v>
      </c>
      <c r="J338" s="41">
        <f t="shared" si="20"/>
        <v>48759.820000000007</v>
      </c>
      <c r="K338" s="41">
        <f t="shared" si="20"/>
        <v>21456.46</v>
      </c>
      <c r="L338" s="41">
        <f t="shared" si="20"/>
        <v>4289171.16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830000</v>
      </c>
      <c r="L344" s="19">
        <f t="shared" ref="L344:L350" si="21">SUM(F344:K344)</f>
        <v>830000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830000</v>
      </c>
      <c r="L351" s="41">
        <f>SUM(L341:L350)</f>
        <v>830000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2403564.69</v>
      </c>
      <c r="G352" s="41">
        <f>G338</f>
        <v>720584.72</v>
      </c>
      <c r="H352" s="41">
        <f>H338</f>
        <v>866157.8</v>
      </c>
      <c r="I352" s="41">
        <f>I338</f>
        <v>228647.67</v>
      </c>
      <c r="J352" s="41">
        <f>J338</f>
        <v>48759.820000000007</v>
      </c>
      <c r="K352" s="47">
        <f>K338+K351</f>
        <v>851456.46</v>
      </c>
      <c r="L352" s="41">
        <f>L338+L351</f>
        <v>5119171.16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242725.39</v>
      </c>
      <c r="G358" s="18">
        <v>48812.51</v>
      </c>
      <c r="H358" s="18">
        <v>12151.63</v>
      </c>
      <c r="I358" s="18">
        <v>328653.24</v>
      </c>
      <c r="J358" s="18">
        <v>4517.7299999999996</v>
      </c>
      <c r="K358" s="18"/>
      <c r="L358" s="13">
        <f>SUM(F358:K358)</f>
        <v>636860.5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142598.24</v>
      </c>
      <c r="G359" s="18">
        <v>32179.59</v>
      </c>
      <c r="H359" s="18">
        <v>2478.3000000000002</v>
      </c>
      <c r="I359" s="18">
        <v>126618.14</v>
      </c>
      <c r="J359" s="18">
        <v>957.2</v>
      </c>
      <c r="K359" s="18"/>
      <c r="L359" s="19">
        <f>SUM(F359:K359)</f>
        <v>304831.46999999997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105665.91</v>
      </c>
      <c r="G360" s="18">
        <v>25097.66</v>
      </c>
      <c r="H360" s="18">
        <v>3102.57</v>
      </c>
      <c r="I360" s="18">
        <v>158621.60999999999</v>
      </c>
      <c r="J360" s="18">
        <v>4908.88</v>
      </c>
      <c r="K360" s="18"/>
      <c r="L360" s="19">
        <f>SUM(F360:K360)</f>
        <v>297396.63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490989.54000000004</v>
      </c>
      <c r="G362" s="47">
        <f t="shared" si="22"/>
        <v>106089.76000000001</v>
      </c>
      <c r="H362" s="47">
        <f t="shared" si="22"/>
        <v>17732.5</v>
      </c>
      <c r="I362" s="47">
        <f t="shared" si="22"/>
        <v>613892.99</v>
      </c>
      <c r="J362" s="47">
        <f t="shared" si="22"/>
        <v>10383.81</v>
      </c>
      <c r="K362" s="47">
        <f t="shared" si="22"/>
        <v>0</v>
      </c>
      <c r="L362" s="47">
        <f t="shared" si="22"/>
        <v>1239088.6000000001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105258.2+32266.54+781.36+367.2+55277.72+26060.68+59644.05+26227.78</f>
        <v>305883.53000000003</v>
      </c>
      <c r="G367" s="18">
        <f>106233.29+7378.6+1730.34</f>
        <v>115342.23</v>
      </c>
      <c r="H367" s="18">
        <f>124120.4+20983.78+157.91</f>
        <v>145262.09</v>
      </c>
      <c r="I367" s="56">
        <f>SUM(F367:H367)</f>
        <v>566487.85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12094.92+205.57+5136.7+205.57+4921.38+205.57</f>
        <v>22769.71</v>
      </c>
      <c r="G368" s="63">
        <f>11070.34+205.57</f>
        <v>11275.91</v>
      </c>
      <c r="H368" s="63">
        <f>13153.92+205.6</f>
        <v>13359.52</v>
      </c>
      <c r="I368" s="56">
        <f>SUM(F368:H368)</f>
        <v>47405.14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328653.24000000005</v>
      </c>
      <c r="G369" s="47">
        <f>SUM(G367:G368)</f>
        <v>126618.14</v>
      </c>
      <c r="H369" s="47">
        <f>SUM(H367:H368)</f>
        <v>158621.60999999999</v>
      </c>
      <c r="I369" s="47">
        <f>SUM(I367:I368)</f>
        <v>613892.99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/>
      <c r="G465" s="18"/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33013814.530000005</v>
      </c>
      <c r="G468" s="18">
        <f t="shared" ref="G468:H468" si="35">G193</f>
        <v>1239088.6000000001</v>
      </c>
      <c r="H468" s="18">
        <f t="shared" si="35"/>
        <v>5119171.16</v>
      </c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33013814.530000005</v>
      </c>
      <c r="G470" s="53">
        <f>SUM(G468:G469)</f>
        <v>1239088.6000000001</v>
      </c>
      <c r="H470" s="53">
        <f>SUM(H468:H469)</f>
        <v>5119171.16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33013814.529999997</v>
      </c>
      <c r="G472" s="18">
        <f>L362</f>
        <v>1239088.6000000001</v>
      </c>
      <c r="H472" s="18">
        <f>L352</f>
        <v>5119171.16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33013814.529999997</v>
      </c>
      <c r="G474" s="53">
        <f>SUM(G472:G473)</f>
        <v>1239088.6000000001</v>
      </c>
      <c r="H474" s="53">
        <f>SUM(H472:H473)</f>
        <v>5119171.16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1622623.8199999998</v>
      </c>
      <c r="G521" s="18">
        <v>892621.12000000011</v>
      </c>
      <c r="H521" s="18">
        <v>791179.34</v>
      </c>
      <c r="I521" s="18">
        <v>27148.880000000001</v>
      </c>
      <c r="J521" s="18">
        <v>8368.369999999999</v>
      </c>
      <c r="K521" s="18">
        <v>1360</v>
      </c>
      <c r="L521" s="88">
        <f>SUM(F521:K521)</f>
        <v>3343301.53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1202425.83</v>
      </c>
      <c r="G522" s="18">
        <v>452180.27999999997</v>
      </c>
      <c r="H522" s="18">
        <v>302138.86</v>
      </c>
      <c r="I522" s="18">
        <v>2726.97</v>
      </c>
      <c r="J522" s="18">
        <v>337.03</v>
      </c>
      <c r="K522" s="18">
        <v>0</v>
      </c>
      <c r="L522" s="88">
        <f>SUM(F522:K522)</f>
        <v>1959808.9700000002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811673.33</v>
      </c>
      <c r="G523" s="18">
        <v>471713.64</v>
      </c>
      <c r="H523" s="18">
        <v>458597.13</v>
      </c>
      <c r="I523" s="18">
        <v>14747.34</v>
      </c>
      <c r="J523" s="18">
        <v>3178.64</v>
      </c>
      <c r="K523" s="18">
        <v>530</v>
      </c>
      <c r="L523" s="88">
        <f>SUM(F523:K523)</f>
        <v>1760440.08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3636722.98</v>
      </c>
      <c r="G524" s="108">
        <f t="shared" ref="G524:L524" si="37">SUM(G521:G523)</f>
        <v>1816515.04</v>
      </c>
      <c r="H524" s="108">
        <f t="shared" si="37"/>
        <v>1551915.33</v>
      </c>
      <c r="I524" s="108">
        <f t="shared" si="37"/>
        <v>44623.19</v>
      </c>
      <c r="J524" s="108">
        <f t="shared" si="37"/>
        <v>11884.039999999999</v>
      </c>
      <c r="K524" s="108">
        <f t="shared" si="37"/>
        <v>1890</v>
      </c>
      <c r="L524" s="89">
        <f t="shared" si="37"/>
        <v>7063550.5800000001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74950+35174+35174+27126.4+13512.04+13512.4</f>
        <v>199448.84</v>
      </c>
      <c r="G526" s="18">
        <f>48887+23137+23137+30023</f>
        <v>125184</v>
      </c>
      <c r="H526" s="18">
        <v>0</v>
      </c>
      <c r="I526" s="18">
        <v>879.09</v>
      </c>
      <c r="J526" s="18"/>
      <c r="K526" s="18"/>
      <c r="L526" s="88">
        <f>SUM(F526:K526)</f>
        <v>325511.93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42208.800000000003</v>
      </c>
      <c r="G527" s="18">
        <v>23455</v>
      </c>
      <c r="H527" s="18">
        <v>0</v>
      </c>
      <c r="I527" s="18">
        <v>785.53</v>
      </c>
      <c r="J527" s="18"/>
      <c r="K527" s="18"/>
      <c r="L527" s="88">
        <f>SUM(F527:K527)</f>
        <v>66449.33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28139.200000000001</v>
      </c>
      <c r="G528" s="18">
        <v>15636</v>
      </c>
      <c r="H528" s="18">
        <v>40132.660000000003</v>
      </c>
      <c r="I528" s="18">
        <v>785.52</v>
      </c>
      <c r="J528" s="18"/>
      <c r="K528" s="18"/>
      <c r="L528" s="88">
        <f>SUM(F528:K528)</f>
        <v>84693.38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269796.84000000003</v>
      </c>
      <c r="G529" s="89">
        <f t="shared" ref="G529:L529" si="38">SUM(G526:G528)</f>
        <v>164275</v>
      </c>
      <c r="H529" s="89">
        <f t="shared" si="38"/>
        <v>40132.660000000003</v>
      </c>
      <c r="I529" s="89">
        <f t="shared" si="38"/>
        <v>2450.14</v>
      </c>
      <c r="J529" s="89">
        <f t="shared" si="38"/>
        <v>0</v>
      </c>
      <c r="K529" s="89">
        <f t="shared" si="38"/>
        <v>0</v>
      </c>
      <c r="L529" s="89">
        <f t="shared" si="38"/>
        <v>476654.64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171980.01</v>
      </c>
      <c r="G531" s="18">
        <v>81810</v>
      </c>
      <c r="H531" s="18">
        <v>2089.1</v>
      </c>
      <c r="I531" s="18"/>
      <c r="J531" s="18"/>
      <c r="K531" s="18">
        <v>150</v>
      </c>
      <c r="L531" s="88">
        <f>SUM(F531:K531)</f>
        <v>256029.11000000002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45277.5</v>
      </c>
      <c r="G532" s="18">
        <v>25536</v>
      </c>
      <c r="H532" s="18">
        <v>1584</v>
      </c>
      <c r="I532" s="18"/>
      <c r="J532" s="18"/>
      <c r="K532" s="18">
        <v>1479.28</v>
      </c>
      <c r="L532" s="88">
        <f>SUM(F532:K532)</f>
        <v>73876.78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45277.5</v>
      </c>
      <c r="G533" s="18">
        <v>16808</v>
      </c>
      <c r="H533" s="18">
        <v>785</v>
      </c>
      <c r="I533" s="18"/>
      <c r="J533" s="18"/>
      <c r="K533" s="18">
        <v>530</v>
      </c>
      <c r="L533" s="88">
        <f>SUM(F533:K533)</f>
        <v>63400.5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262535.01</v>
      </c>
      <c r="G534" s="89">
        <f t="shared" ref="G534:L534" si="39">SUM(G531:G533)</f>
        <v>124154</v>
      </c>
      <c r="H534" s="89">
        <f t="shared" si="39"/>
        <v>4458.1000000000004</v>
      </c>
      <c r="I534" s="89">
        <f t="shared" si="39"/>
        <v>0</v>
      </c>
      <c r="J534" s="89">
        <f t="shared" si="39"/>
        <v>0</v>
      </c>
      <c r="K534" s="89">
        <f t="shared" si="39"/>
        <v>2159.2799999999997</v>
      </c>
      <c r="L534" s="89">
        <f t="shared" si="39"/>
        <v>393306.39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17514.7</v>
      </c>
      <c r="I536" s="18"/>
      <c r="J536" s="18"/>
      <c r="K536" s="18"/>
      <c r="L536" s="88">
        <f>SUM(F536:K536)</f>
        <v>17514.7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7746.89</v>
      </c>
      <c r="I537" s="18"/>
      <c r="J537" s="18"/>
      <c r="K537" s="18"/>
      <c r="L537" s="88">
        <f>SUM(F537:K537)</f>
        <v>7746.89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8420.52</v>
      </c>
      <c r="I538" s="18"/>
      <c r="J538" s="18"/>
      <c r="K538" s="18"/>
      <c r="L538" s="88">
        <f>SUM(F538:K538)</f>
        <v>8420.52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33682.11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33682.11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105095.33</v>
      </c>
      <c r="I541" s="18"/>
      <c r="J541" s="18"/>
      <c r="K541" s="18"/>
      <c r="L541" s="88">
        <f>SUM(F541:K541)</f>
        <v>105095.33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50379.44</v>
      </c>
      <c r="I542" s="18"/>
      <c r="J542" s="18"/>
      <c r="K542" s="18"/>
      <c r="L542" s="88">
        <f>SUM(F542:K542)</f>
        <v>50379.44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15680.19</v>
      </c>
      <c r="I543" s="18"/>
      <c r="J543" s="18"/>
      <c r="K543" s="18"/>
      <c r="L543" s="88">
        <f>SUM(F543:K543)</f>
        <v>15680.19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171154.96000000002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171154.96000000002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4169054.83</v>
      </c>
      <c r="G545" s="89">
        <f t="shared" ref="G545:L545" si="42">G524+G529+G534+G539+G544</f>
        <v>2104944.04</v>
      </c>
      <c r="H545" s="89">
        <f t="shared" si="42"/>
        <v>1801343.1600000001</v>
      </c>
      <c r="I545" s="89">
        <f t="shared" si="42"/>
        <v>47073.33</v>
      </c>
      <c r="J545" s="89">
        <f t="shared" si="42"/>
        <v>11884.039999999999</v>
      </c>
      <c r="K545" s="89">
        <f t="shared" si="42"/>
        <v>4049.2799999999997</v>
      </c>
      <c r="L545" s="89">
        <f t="shared" si="42"/>
        <v>8138348.6799999997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3343301.53</v>
      </c>
      <c r="G549" s="87">
        <f>L526</f>
        <v>325511.93</v>
      </c>
      <c r="H549" s="87">
        <f>L531</f>
        <v>256029.11000000002</v>
      </c>
      <c r="I549" s="87">
        <f>L536</f>
        <v>17514.7</v>
      </c>
      <c r="J549" s="87">
        <f>L541</f>
        <v>105095.33</v>
      </c>
      <c r="K549" s="87">
        <f>SUM(F549:J549)</f>
        <v>4047452.6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1959808.9700000002</v>
      </c>
      <c r="G550" s="87">
        <f>L527</f>
        <v>66449.33</v>
      </c>
      <c r="H550" s="87">
        <f>L532</f>
        <v>73876.78</v>
      </c>
      <c r="I550" s="87">
        <f>L537</f>
        <v>7746.89</v>
      </c>
      <c r="J550" s="87">
        <f>L542</f>
        <v>50379.44</v>
      </c>
      <c r="K550" s="87">
        <f>SUM(F550:J550)</f>
        <v>2158261.41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1760440.08</v>
      </c>
      <c r="G551" s="87">
        <f>L528</f>
        <v>84693.38</v>
      </c>
      <c r="H551" s="87">
        <f>L533</f>
        <v>63400.5</v>
      </c>
      <c r="I551" s="87">
        <f>L538</f>
        <v>8420.52</v>
      </c>
      <c r="J551" s="87">
        <f>L543</f>
        <v>15680.19</v>
      </c>
      <c r="K551" s="87">
        <f>SUM(F551:J551)</f>
        <v>1932634.67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7063550.5800000001</v>
      </c>
      <c r="G552" s="89">
        <f t="shared" si="43"/>
        <v>476654.64</v>
      </c>
      <c r="H552" s="89">
        <f t="shared" si="43"/>
        <v>393306.39</v>
      </c>
      <c r="I552" s="89">
        <f t="shared" si="43"/>
        <v>33682.11</v>
      </c>
      <c r="J552" s="89">
        <f t="shared" si="43"/>
        <v>171154.96000000002</v>
      </c>
      <c r="K552" s="89">
        <f t="shared" si="43"/>
        <v>8138348.6799999997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51256.25</v>
      </c>
      <c r="G579" s="18">
        <v>15262.78</v>
      </c>
      <c r="H579" s="18">
        <v>0</v>
      </c>
      <c r="I579" s="87">
        <f t="shared" si="48"/>
        <v>66519.03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63342.52</v>
      </c>
      <c r="H582" s="18">
        <v>309981.34000000003</v>
      </c>
      <c r="I582" s="87">
        <f t="shared" si="48"/>
        <v>373323.86000000004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239110.67</v>
      </c>
      <c r="I591" s="18">
        <v>119555.34</v>
      </c>
      <c r="J591" s="18">
        <v>39851.78</v>
      </c>
      <c r="K591" s="104">
        <f t="shared" ref="K591:K597" si="49">SUM(H591:J591)</f>
        <v>398517.79000000004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89532.35+15562.98</f>
        <v>105095.33</v>
      </c>
      <c r="I592" s="18">
        <f>45191.78+5187.66</f>
        <v>50379.44</v>
      </c>
      <c r="J592" s="18">
        <f>15680.19</f>
        <v>15680.19</v>
      </c>
      <c r="K592" s="104">
        <f t="shared" si="49"/>
        <v>171154.96000000002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2261.11</v>
      </c>
      <c r="K593" s="104">
        <f t="shared" si="49"/>
        <v>2261.11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9775</v>
      </c>
      <c r="J594" s="18">
        <v>35549.19</v>
      </c>
      <c r="K594" s="104">
        <f t="shared" si="49"/>
        <v>45324.19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905</v>
      </c>
      <c r="I595" s="18">
        <v>5323.69</v>
      </c>
      <c r="J595" s="18">
        <v>5879.37</v>
      </c>
      <c r="K595" s="104">
        <f t="shared" si="49"/>
        <v>12108.06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345111</v>
      </c>
      <c r="I598" s="108">
        <f>SUM(I591:I597)</f>
        <v>185033.47</v>
      </c>
      <c r="J598" s="108">
        <f>SUM(J591:J597)</f>
        <v>99221.64</v>
      </c>
      <c r="K598" s="108">
        <f>SUM(K591:K597)</f>
        <v>629366.1100000001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94025.98+2806.41+44708.01+43584.27+1309.43+13957.26+208.74+8261.97+127.52+5548.68+4675+2805+1870</f>
        <v>223888.26999999996</v>
      </c>
      <c r="I604" s="18">
        <f>115295.4+23577.98+5636.58+299.97+149+2240.82</f>
        <v>147199.75</v>
      </c>
      <c r="J604" s="18">
        <f>231.57+1294.24+67252.76+16819.89+2000+2986.26+7247.04+19692.07+2881.05</f>
        <v>120404.87999999999</v>
      </c>
      <c r="K604" s="104">
        <f>SUM(H604:J604)</f>
        <v>491492.89999999997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223888.26999999996</v>
      </c>
      <c r="I605" s="108">
        <f>SUM(I602:I604)</f>
        <v>147199.75</v>
      </c>
      <c r="J605" s="108">
        <f>SUM(J602:J604)</f>
        <v>120404.87999999999</v>
      </c>
      <c r="K605" s="108">
        <f>SUM(K602:K604)</f>
        <v>491492.89999999997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3844131.54</v>
      </c>
      <c r="H617" s="109">
        <f>SUM(F52)</f>
        <v>3844131.54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68281.48</v>
      </c>
      <c r="H618" s="109">
        <f>SUM(G52)</f>
        <v>68281.48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1127562.6499999999</v>
      </c>
      <c r="H619" s="109">
        <f>SUM(H52)</f>
        <v>1127562.6499999999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33013814.530000005</v>
      </c>
      <c r="H627" s="104">
        <f>SUM(F468)</f>
        <v>33013814.530000005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1239088.6000000001</v>
      </c>
      <c r="H628" s="104">
        <f>SUM(G468)</f>
        <v>1239088.6000000001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5119171.16</v>
      </c>
      <c r="H629" s="104">
        <f>SUM(H468)</f>
        <v>5119171.16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33013814.529999997</v>
      </c>
      <c r="H632" s="104">
        <f>SUM(F472)</f>
        <v>33013814.529999997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5119171.16</v>
      </c>
      <c r="H633" s="104">
        <f>SUM(H472)</f>
        <v>5119171.16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613892.99</v>
      </c>
      <c r="H634" s="104">
        <f>I369</f>
        <v>613892.99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1239088.6000000001</v>
      </c>
      <c r="H635" s="104">
        <f>SUM(G472)</f>
        <v>1239088.6000000001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629366.1100000001</v>
      </c>
      <c r="H647" s="104">
        <f>L208+L226+L244</f>
        <v>629366.11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491492.89999999997</v>
      </c>
      <c r="H648" s="104">
        <f>(J257+J338)-(J255+J336)</f>
        <v>491492.9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345111</v>
      </c>
      <c r="H649" s="104">
        <f>H598</f>
        <v>345111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185033.47</v>
      </c>
      <c r="H650" s="104">
        <f>I598</f>
        <v>185033.47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99221.64</v>
      </c>
      <c r="H651" s="104">
        <f>J598</f>
        <v>99221.64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830000</v>
      </c>
      <c r="H653" s="104">
        <f>K264</f>
        <v>830000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15178290.52</v>
      </c>
      <c r="G660" s="19">
        <f>(L229+L309+L359)</f>
        <v>8611299.8900000006</v>
      </c>
      <c r="H660" s="19">
        <f>(L247+L328+L360)</f>
        <v>10670432.02</v>
      </c>
      <c r="I660" s="19">
        <f>SUM(F660:H660)</f>
        <v>34460022.43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199208.53859237346</v>
      </c>
      <c r="G661" s="19">
        <f>(L359/IF(SUM(L358:L360)=0,1,SUM(L358:L360))*(SUM(G97:G110)))</f>
        <v>95350.601357228035</v>
      </c>
      <c r="H661" s="19">
        <f>(L360/IF(SUM(L358:L360)=0,1,SUM(L358:L360))*(SUM(G97:G110)))</f>
        <v>93025.000050398492</v>
      </c>
      <c r="I661" s="19">
        <f>SUM(F661:H661)</f>
        <v>387584.14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366240.71</v>
      </c>
      <c r="G662" s="19">
        <f>(L226+L306)-(J226+J306)</f>
        <v>195387.24</v>
      </c>
      <c r="H662" s="19">
        <f>(L244+L325)-(J244+J325)</f>
        <v>116058.29000000001</v>
      </c>
      <c r="I662" s="19">
        <f>SUM(F662:H662)</f>
        <v>677686.24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275144.51999999996</v>
      </c>
      <c r="G663" s="199">
        <f>SUM(G575:G587)+SUM(I602:I604)+L612</f>
        <v>225805.05</v>
      </c>
      <c r="H663" s="199">
        <f>SUM(H575:H587)+SUM(J602:J604)+L613</f>
        <v>430386.22000000003</v>
      </c>
      <c r="I663" s="19">
        <f>SUM(F663:H663)</f>
        <v>931335.79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14337696.751407627</v>
      </c>
      <c r="G664" s="19">
        <f>G660-SUM(G661:G663)</f>
        <v>8094756.9986427724</v>
      </c>
      <c r="H664" s="19">
        <f>H660-SUM(H661:H663)</f>
        <v>10030962.5099496</v>
      </c>
      <c r="I664" s="19">
        <f>I660-SUM(I661:I663)</f>
        <v>32463416.259999998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954.9</v>
      </c>
      <c r="G665" s="248">
        <v>411.99</v>
      </c>
      <c r="H665" s="248">
        <v>537.6</v>
      </c>
      <c r="I665" s="19">
        <f>SUM(F665:H665)</f>
        <v>1904.4899999999998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15014.87</v>
      </c>
      <c r="G667" s="19">
        <f>ROUND(G664/G665,2)</f>
        <v>19647.95</v>
      </c>
      <c r="H667" s="19">
        <f>ROUND(H664/H665,2)</f>
        <v>18658.78</v>
      </c>
      <c r="I667" s="19">
        <f>ROUND(I664/I665,2)</f>
        <v>17045.73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64.78</v>
      </c>
      <c r="I670" s="19">
        <f>SUM(F670:H670)</f>
        <v>64.78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15014.87</v>
      </c>
      <c r="G672" s="19">
        <f>ROUND((G664+G669)/(G665+G670),2)</f>
        <v>19647.95</v>
      </c>
      <c r="H672" s="19">
        <f>ROUND((H664+H669)/(H665+H670),2)</f>
        <v>16652.22</v>
      </c>
      <c r="I672" s="19">
        <f>ROUND((I664+I669)/(I665+I670),2)</f>
        <v>16485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"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Laconia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7393485.8799999999</v>
      </c>
      <c r="C9" s="229">
        <f>'DOE25'!G197+'DOE25'!G215+'DOE25'!G233+'DOE25'!G276+'DOE25'!G295+'DOE25'!G314</f>
        <v>4134662.8500000006</v>
      </c>
    </row>
    <row r="10" spans="1:3" x14ac:dyDescent="0.2">
      <c r="A10" t="s">
        <v>773</v>
      </c>
      <c r="B10" s="240">
        <f>901969.6+86131.5+5945478.62+93718+48805+34686+10227+67194.52</f>
        <v>7188210.2399999993</v>
      </c>
      <c r="C10" s="240">
        <f>C9-C11-C12</f>
        <v>4019708.4916000008</v>
      </c>
    </row>
    <row r="11" spans="1:3" x14ac:dyDescent="0.2">
      <c r="A11" t="s">
        <v>774</v>
      </c>
      <c r="B11" s="240">
        <v>0</v>
      </c>
      <c r="C11" s="240">
        <f>B11*0.56</f>
        <v>0</v>
      </c>
    </row>
    <row r="12" spans="1:3" x14ac:dyDescent="0.2">
      <c r="A12" t="s">
        <v>775</v>
      </c>
      <c r="B12" s="240">
        <f>39373.75+165901.89</f>
        <v>205275.64</v>
      </c>
      <c r="C12" s="240">
        <f>B12*0.56</f>
        <v>114954.35840000001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7393485.879999999</v>
      </c>
      <c r="C13" s="231">
        <f>SUM(C10:C12)</f>
        <v>4134662.8500000006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3636722.9799999995</v>
      </c>
      <c r="C18" s="229">
        <f>'DOE25'!G198+'DOE25'!G216+'DOE25'!G234+'DOE25'!G277+'DOE25'!G296+'DOE25'!G315</f>
        <v>1816515.04</v>
      </c>
    </row>
    <row r="19" spans="1:3" x14ac:dyDescent="0.2">
      <c r="A19" t="s">
        <v>773</v>
      </c>
      <c r="B19" s="240">
        <f>384919.3+60596.12+174398.66+103023+87510+369821.08+338346.17+58488.69+14990+104159</f>
        <v>1696252.0199999998</v>
      </c>
      <c r="C19" s="240">
        <f>C18-C20-C21</f>
        <v>1040326.656</v>
      </c>
    </row>
    <row r="20" spans="1:3" x14ac:dyDescent="0.2">
      <c r="A20" t="s">
        <v>774</v>
      </c>
      <c r="B20" s="240">
        <f>2062.5+69768.43+394214.96+204497.01+180063.63+301660.42+312964.73</f>
        <v>1465231.68</v>
      </c>
      <c r="C20" s="240">
        <f>B20*0.4</f>
        <v>586092.67200000002</v>
      </c>
    </row>
    <row r="21" spans="1:3" x14ac:dyDescent="0.2">
      <c r="A21" t="s">
        <v>775</v>
      </c>
      <c r="B21" s="240">
        <f>70348+57326.11+57326.11+57327.79+45277.5+86275.87+45277.5+26553.4+29527</f>
        <v>475239.28</v>
      </c>
      <c r="C21" s="240">
        <f>B21*0.4</f>
        <v>190095.71200000003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3636722.9799999995</v>
      </c>
      <c r="C22" s="231">
        <f>SUM(C19:C21)</f>
        <v>1816515.04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890399.63</v>
      </c>
      <c r="C27" s="234">
        <f>'DOE25'!G199+'DOE25'!G217+'DOE25'!G235+'DOE25'!G278+'DOE25'!G297+'DOE25'!G316</f>
        <v>552002.49</v>
      </c>
    </row>
    <row r="28" spans="1:3" x14ac:dyDescent="0.2">
      <c r="A28" t="s">
        <v>773</v>
      </c>
      <c r="B28" s="240">
        <f>493686.02+73207.1+5500+666.12+36417+11408+14070</f>
        <v>634954.23999999999</v>
      </c>
      <c r="C28" s="240">
        <f>C27-C29-C30</f>
        <v>449824.33400000003</v>
      </c>
    </row>
    <row r="29" spans="1:3" x14ac:dyDescent="0.2">
      <c r="A29" t="s">
        <v>774</v>
      </c>
      <c r="B29" s="240">
        <f>29968.19</f>
        <v>29968.19</v>
      </c>
      <c r="C29" s="240">
        <f>B29*0.4</f>
        <v>11987.276</v>
      </c>
    </row>
    <row r="30" spans="1:3" x14ac:dyDescent="0.2">
      <c r="A30" t="s">
        <v>775</v>
      </c>
      <c r="B30" s="240">
        <f>89158.92+95946+39347.28+800+225</f>
        <v>225477.19999999998</v>
      </c>
      <c r="C30" s="240">
        <f>B30*0.4</f>
        <v>90190.88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890399.62999999989</v>
      </c>
      <c r="C31" s="231">
        <f>SUM(C28:C30)</f>
        <v>552002.49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191894.47999999998</v>
      </c>
      <c r="C36" s="235">
        <f>'DOE25'!G200+'DOE25'!G218+'DOE25'!G236+'DOE25'!G279+'DOE25'!G298+'DOE25'!G317</f>
        <v>111709.15000000001</v>
      </c>
    </row>
    <row r="37" spans="1:3" x14ac:dyDescent="0.2">
      <c r="A37" t="s">
        <v>773</v>
      </c>
      <c r="B37" s="240">
        <f>19356.45+43993.27+127064+1480.76</f>
        <v>191894.48</v>
      </c>
      <c r="C37" s="240">
        <f>C36</f>
        <v>111709.15000000001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191894.48</v>
      </c>
      <c r="C40" s="231">
        <f>SUM(C37:C39)</f>
        <v>111709.15000000001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Laconia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18912859.919999998</v>
      </c>
      <c r="D5" s="20">
        <f>SUM('DOE25'!L197:L200)+SUM('DOE25'!L215:L218)+SUM('DOE25'!L233:L236)-F5-G5</f>
        <v>18792461.449999999</v>
      </c>
      <c r="E5" s="243"/>
      <c r="F5" s="255">
        <f>SUM('DOE25'!J197:J200)+SUM('DOE25'!J215:J218)+SUM('DOE25'!J233:J236)</f>
        <v>117052.47000000002</v>
      </c>
      <c r="G5" s="53">
        <f>SUM('DOE25'!K197:K200)+SUM('DOE25'!K215:K218)+SUM('DOE25'!K233:K236)</f>
        <v>3346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1764697.76</v>
      </c>
      <c r="D6" s="20">
        <f>'DOE25'!L202+'DOE25'!L220+'DOE25'!L238-F6-G6</f>
        <v>1759892.8800000001</v>
      </c>
      <c r="E6" s="243"/>
      <c r="F6" s="255">
        <f>'DOE25'!J202+'DOE25'!J220+'DOE25'!J238</f>
        <v>4804.88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1501439.02</v>
      </c>
      <c r="D7" s="20">
        <f>'DOE25'!L203+'DOE25'!L221+'DOE25'!L239-F7-G7</f>
        <v>1203097.3599999999</v>
      </c>
      <c r="E7" s="243"/>
      <c r="F7" s="255">
        <f>'DOE25'!J203+'DOE25'!J221+'DOE25'!J239</f>
        <v>298191.66000000003</v>
      </c>
      <c r="G7" s="53">
        <f>'DOE25'!K203+'DOE25'!K221+'DOE25'!K239</f>
        <v>150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591445.38000000024</v>
      </c>
      <c r="D8" s="243"/>
      <c r="E8" s="20">
        <f>'DOE25'!L204+'DOE25'!L222+'DOE25'!L240-F8-G8-D9-D11</f>
        <v>553639.03000000026</v>
      </c>
      <c r="F8" s="255">
        <f>'DOE25'!J204+'DOE25'!J222+'DOE25'!J240</f>
        <v>0</v>
      </c>
      <c r="G8" s="53">
        <f>'DOE25'!K204+'DOE25'!K222+'DOE25'!K240</f>
        <v>37806.350000000006</v>
      </c>
      <c r="H8" s="259"/>
    </row>
    <row r="9" spans="1:9" x14ac:dyDescent="0.2">
      <c r="A9" s="32">
        <v>2310</v>
      </c>
      <c r="B9" t="s">
        <v>812</v>
      </c>
      <c r="C9" s="245">
        <f t="shared" si="0"/>
        <v>26536.309999999998</v>
      </c>
      <c r="D9" s="244">
        <f>8400+490.59+379.82+8887.27+4247.98+4130.65</f>
        <v>26536.309999999998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20000</v>
      </c>
      <c r="D10" s="243"/>
      <c r="E10" s="244">
        <v>20000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354940.93</v>
      </c>
      <c r="D11" s="244">
        <f>140000+103940.93+111000</f>
        <v>354940.93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1785946.24</v>
      </c>
      <c r="D12" s="20">
        <f>'DOE25'!L205+'DOE25'!L223+'DOE25'!L241-F12-G12</f>
        <v>1772783.18</v>
      </c>
      <c r="E12" s="243"/>
      <c r="F12" s="255">
        <f>'DOE25'!J205+'DOE25'!J223+'DOE25'!J241</f>
        <v>0</v>
      </c>
      <c r="G12" s="53">
        <f>'DOE25'!K205+'DOE25'!K223+'DOE25'!K241</f>
        <v>13163.060000000001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413864.23</v>
      </c>
      <c r="D13" s="243"/>
      <c r="E13" s="20">
        <f>'DOE25'!L206+'DOE25'!L224+'DOE25'!L242-F13-G13</f>
        <v>410330.26999999996</v>
      </c>
      <c r="F13" s="255">
        <f>'DOE25'!J206+'DOE25'!J224+'DOE25'!J242</f>
        <v>3533.96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3225131.0900000003</v>
      </c>
      <c r="D14" s="20">
        <f>'DOE25'!L207+'DOE25'!L225+'DOE25'!L243-F14-G14</f>
        <v>3207980.9800000004</v>
      </c>
      <c r="E14" s="243"/>
      <c r="F14" s="255">
        <f>'DOE25'!J207+'DOE25'!J225+'DOE25'!J243</f>
        <v>17150.11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629366.11</v>
      </c>
      <c r="D15" s="20">
        <f>'DOE25'!L208+'DOE25'!L226+'DOE25'!L244-F15-G15</f>
        <v>629366.11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265355.27</v>
      </c>
      <c r="D17" s="20">
        <f>'DOE25'!L251-F17-G17</f>
        <v>261821.27000000002</v>
      </c>
      <c r="E17" s="243"/>
      <c r="F17" s="255">
        <f>'DOE25'!J251</f>
        <v>2000</v>
      </c>
      <c r="G17" s="53">
        <f>'DOE25'!K251</f>
        <v>1534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175000</v>
      </c>
      <c r="D22" s="243"/>
      <c r="E22" s="243"/>
      <c r="F22" s="255">
        <f>'DOE25'!L255+'DOE25'!L336</f>
        <v>175000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2537232.27</v>
      </c>
      <c r="D25" s="243"/>
      <c r="E25" s="243"/>
      <c r="F25" s="258"/>
      <c r="G25" s="256"/>
      <c r="H25" s="257">
        <f>'DOE25'!L260+'DOE25'!L261+'DOE25'!L341+'DOE25'!L342</f>
        <v>2537232.27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672600.75000000012</v>
      </c>
      <c r="D29" s="20">
        <f>'DOE25'!L358+'DOE25'!L359+'DOE25'!L360-'DOE25'!I367-F29-G29</f>
        <v>662216.94000000006</v>
      </c>
      <c r="E29" s="243"/>
      <c r="F29" s="255">
        <f>'DOE25'!J358+'DOE25'!J359+'DOE25'!J360</f>
        <v>10383.81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4261118.01</v>
      </c>
      <c r="D31" s="20">
        <f>'DOE25'!L290+'DOE25'!L309+'DOE25'!L328+'DOE25'!L333+'DOE25'!L334+'DOE25'!L335-F31-G31</f>
        <v>4190901.7299999995</v>
      </c>
      <c r="E31" s="243"/>
      <c r="F31" s="255">
        <f>'DOE25'!J290+'DOE25'!J309+'DOE25'!J328+'DOE25'!J333+'DOE25'!J334+'DOE25'!J335</f>
        <v>48759.820000000007</v>
      </c>
      <c r="G31" s="53">
        <f>'DOE25'!K290+'DOE25'!K309+'DOE25'!K328+'DOE25'!K333+'DOE25'!K334+'DOE25'!K335</f>
        <v>21456.46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32861999.139999997</v>
      </c>
      <c r="E33" s="246">
        <f>SUM(E5:E31)</f>
        <v>983969.30000000028</v>
      </c>
      <c r="F33" s="246">
        <f>SUM(F5:F31)</f>
        <v>676876.7100000002</v>
      </c>
      <c r="G33" s="246">
        <f>SUM(G5:G31)</f>
        <v>77455.87</v>
      </c>
      <c r="H33" s="246">
        <f>SUM(H5:H31)</f>
        <v>2537232.27</v>
      </c>
    </row>
    <row r="35" spans="2:8" ht="12" thickBot="1" x14ac:dyDescent="0.25">
      <c r="B35" s="253" t="s">
        <v>841</v>
      </c>
      <c r="D35" s="254">
        <f>E33</f>
        <v>983969.30000000028</v>
      </c>
      <c r="E35" s="249"/>
    </row>
    <row r="36" spans="2:8" ht="12" thickTop="1" x14ac:dyDescent="0.2">
      <c r="B36" t="s">
        <v>809</v>
      </c>
      <c r="D36" s="20">
        <f>D33</f>
        <v>32861999.139999997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130" sqref="V1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2511.4</v>
      </c>
      <c r="D8" s="95">
        <f>'DOE25'!G9</f>
        <v>400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2771319.29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45164.28</v>
      </c>
      <c r="E11" s="95">
        <f>'DOE25'!H12</f>
        <v>1127562.6499999999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1034748.79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12434.06</v>
      </c>
      <c r="D13" s="95">
        <f>'DOE25'!G14</f>
        <v>517.20000000000005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22200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13118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3844131.54</v>
      </c>
      <c r="D18" s="41">
        <f>SUM(D8:D17)</f>
        <v>68281.48</v>
      </c>
      <c r="E18" s="41">
        <f>SUM(E8:E17)</f>
        <v>1127562.6499999999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56910.07</v>
      </c>
      <c r="E21" s="95">
        <f>'DOE25'!H22</f>
        <v>746487.62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3447510.92</v>
      </c>
      <c r="D23" s="95">
        <f>'DOE25'!G24</f>
        <v>9341.68</v>
      </c>
      <c r="E23" s="95">
        <f>'DOE25'!H24</f>
        <v>147623.14000000001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30974.98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440</v>
      </c>
      <c r="D29" s="95">
        <f>'DOE25'!G30</f>
        <v>0</v>
      </c>
      <c r="E29" s="95">
        <f>'DOE25'!H30</f>
        <v>233451.89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365205.64</v>
      </c>
      <c r="D30" s="95">
        <f>'DOE25'!G31</f>
        <v>2029.73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3844131.54</v>
      </c>
      <c r="D31" s="41">
        <f>SUM(D21:D30)</f>
        <v>68281.48</v>
      </c>
      <c r="E31" s="41">
        <f>SUM(E21:E30)</f>
        <v>1127562.6499999999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3844131.54</v>
      </c>
      <c r="D51" s="41">
        <f>D50+D31</f>
        <v>68281.48</v>
      </c>
      <c r="E51" s="41">
        <f>E50+E31</f>
        <v>1127562.6499999999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19273229.670000002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561314.55000000005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387584.14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92959.040000000008</v>
      </c>
      <c r="D61" s="95">
        <f>SUM('DOE25'!G98:G110)</f>
        <v>0</v>
      </c>
      <c r="E61" s="95">
        <f>SUM('DOE25'!H98:H110)</f>
        <v>170736.50999999998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654273.59000000008</v>
      </c>
      <c r="D62" s="130">
        <f>SUM(D57:D61)</f>
        <v>387584.14</v>
      </c>
      <c r="E62" s="130">
        <f>SUM(E57:E61)</f>
        <v>170736.50999999998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19927503.260000002</v>
      </c>
      <c r="D63" s="22">
        <f>D56+D62</f>
        <v>387584.14</v>
      </c>
      <c r="E63" s="22">
        <f>E56+E62</f>
        <v>170736.50999999998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6093451.1900000004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4428543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15092.04</v>
      </c>
      <c r="D69" s="95">
        <f>'DOE25'!G120</f>
        <v>84555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10537086.23</v>
      </c>
      <c r="D70" s="139">
        <f>D69</f>
        <v>84555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722119.55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56115.67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1152315.6600000001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15633.62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1930550.8800000004</v>
      </c>
      <c r="D78" s="130">
        <f>SUM(D72:D77)</f>
        <v>15633.62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12467637.110000001</v>
      </c>
      <c r="D81" s="130">
        <f>SUM(D79:D80)+D78+D70</f>
        <v>100188.62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94100.91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481332.16</v>
      </c>
      <c r="D88" s="95">
        <f>SUM('DOE25'!G153:G161)</f>
        <v>751315.84</v>
      </c>
      <c r="E88" s="95">
        <f>SUM('DOE25'!H153:H161)</f>
        <v>4024333.74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481332.16</v>
      </c>
      <c r="D91" s="131">
        <f>SUM(D85:D90)</f>
        <v>751315.84</v>
      </c>
      <c r="E91" s="131">
        <f>SUM(E85:E90)</f>
        <v>4118434.6500000004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830000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137342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137342</v>
      </c>
      <c r="D103" s="86">
        <f>SUM(D93:D102)</f>
        <v>0</v>
      </c>
      <c r="E103" s="86">
        <f>SUM(E93:E102)</f>
        <v>830000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33013814.530000005</v>
      </c>
      <c r="D104" s="86">
        <f>D63+D81+D91+D103</f>
        <v>1239088.6000000001</v>
      </c>
      <c r="E104" s="86">
        <f>E63+E81+E91+E103</f>
        <v>5119171.16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10581643.23</v>
      </c>
      <c r="D109" s="24" t="s">
        <v>286</v>
      </c>
      <c r="E109" s="95">
        <f>('DOE25'!L276)+('DOE25'!L295)+('DOE25'!L314)</f>
        <v>1523769.62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6458477.25</v>
      </c>
      <c r="D110" s="24" t="s">
        <v>286</v>
      </c>
      <c r="E110" s="95">
        <f>('DOE25'!L277)+('DOE25'!L296)+('DOE25'!L315)</f>
        <v>605073.33000000007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1487146.5999999999</v>
      </c>
      <c r="D111" s="24" t="s">
        <v>286</v>
      </c>
      <c r="E111" s="95">
        <f>('DOE25'!L278)+('DOE25'!L297)+('DOE25'!L316)</f>
        <v>149218.00999999998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385592.84</v>
      </c>
      <c r="D112" s="24" t="s">
        <v>286</v>
      </c>
      <c r="E112" s="95">
        <f>+('DOE25'!L279)+('DOE25'!L298)+('DOE25'!L317)</f>
        <v>20837.21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28053.149999999998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265355.27</v>
      </c>
      <c r="D114" s="24" t="s">
        <v>286</v>
      </c>
      <c r="E114" s="95">
        <f>+ SUM('DOE25'!L333:L335)</f>
        <v>246411.17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19178215.190000001</v>
      </c>
      <c r="D115" s="86">
        <f>SUM(D109:D114)</f>
        <v>0</v>
      </c>
      <c r="E115" s="86">
        <f>SUM(E109:E114)</f>
        <v>2573362.4899999998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1764697.76</v>
      </c>
      <c r="D118" s="24" t="s">
        <v>286</v>
      </c>
      <c r="E118" s="95">
        <f>+('DOE25'!L281)+('DOE25'!L300)+('DOE25'!L319)</f>
        <v>699014.76000000013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1501439.0199999998</v>
      </c>
      <c r="D119" s="24" t="s">
        <v>286</v>
      </c>
      <c r="E119" s="95">
        <f>+('DOE25'!L282)+('DOE25'!L301)+('DOE25'!L320)</f>
        <v>799209.95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972922.62000000011</v>
      </c>
      <c r="D120" s="24" t="s">
        <v>286</v>
      </c>
      <c r="E120" s="95">
        <f>+('DOE25'!L283)+('DOE25'!L302)+('DOE25'!L321)</f>
        <v>169263.83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1785946.24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413864.23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3225131.0900000003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629366.11</v>
      </c>
      <c r="D124" s="24" t="s">
        <v>286</v>
      </c>
      <c r="E124" s="95">
        <f>+('DOE25'!L287)+('DOE25'!L306)+('DOE25'!L325)</f>
        <v>48320.130000000005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1239088.6000000001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10293367.07</v>
      </c>
      <c r="D128" s="86">
        <f>SUM(D118:D127)</f>
        <v>1239088.6000000001</v>
      </c>
      <c r="E128" s="86">
        <f>SUM(E118:E127)</f>
        <v>1715808.67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175000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1824514.72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712717.55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830000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830000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3542232.27</v>
      </c>
      <c r="D144" s="141">
        <f>SUM(D130:D143)</f>
        <v>0</v>
      </c>
      <c r="E144" s="141">
        <f>SUM(E130:E143)</f>
        <v>830000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33013814.530000001</v>
      </c>
      <c r="D145" s="86">
        <f>(D115+D128+D144)</f>
        <v>1239088.6000000001</v>
      </c>
      <c r="E145" s="86">
        <f>(E115+E128+E144)</f>
        <v>5119171.16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5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Laconia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15015</v>
      </c>
    </row>
    <row r="5" spans="1:4" x14ac:dyDescent="0.2">
      <c r="B5" t="s">
        <v>698</v>
      </c>
      <c r="C5" s="179">
        <f>IF('DOE25'!G665+'DOE25'!G670=0,0,ROUND('DOE25'!G672,0))</f>
        <v>19648</v>
      </c>
    </row>
    <row r="6" spans="1:4" x14ac:dyDescent="0.2">
      <c r="B6" t="s">
        <v>62</v>
      </c>
      <c r="C6" s="179">
        <f>IF('DOE25'!H665+'DOE25'!H670=0,0,ROUND('DOE25'!H672,0))</f>
        <v>16652</v>
      </c>
    </row>
    <row r="7" spans="1:4" x14ac:dyDescent="0.2">
      <c r="B7" t="s">
        <v>699</v>
      </c>
      <c r="C7" s="179">
        <f>IF('DOE25'!I665+'DOE25'!I670=0,0,ROUND('DOE25'!I672,0))</f>
        <v>16485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12105413</v>
      </c>
      <c r="D10" s="182">
        <f>ROUND((C10/$C$28)*100,1)</f>
        <v>34.299999999999997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7063551</v>
      </c>
      <c r="D11" s="182">
        <f>ROUND((C11/$C$28)*100,1)</f>
        <v>20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1636365</v>
      </c>
      <c r="D12" s="182">
        <f>ROUND((C12/$C$28)*100,1)</f>
        <v>4.5999999999999996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406430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2463713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2300649</v>
      </c>
      <c r="D16" s="182">
        <f t="shared" si="0"/>
        <v>6.5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1142186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1785946</v>
      </c>
      <c r="D18" s="182">
        <f t="shared" si="0"/>
        <v>5.0999999999999996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413864</v>
      </c>
      <c r="D19" s="182">
        <f t="shared" si="0"/>
        <v>1.2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3225131</v>
      </c>
      <c r="D20" s="182">
        <f t="shared" si="0"/>
        <v>9.1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677686</v>
      </c>
      <c r="D21" s="182">
        <f t="shared" si="0"/>
        <v>1.9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28053</v>
      </c>
      <c r="D23" s="182">
        <f t="shared" si="0"/>
        <v>0.1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511766</v>
      </c>
      <c r="D24" s="182">
        <f t="shared" si="0"/>
        <v>1.4</v>
      </c>
    </row>
    <row r="25" spans="1:4" x14ac:dyDescent="0.2">
      <c r="A25">
        <v>5120</v>
      </c>
      <c r="B25" t="s">
        <v>714</v>
      </c>
      <c r="C25" s="179">
        <f>ROUND('DOE25'!L261+'DOE25'!L342,0)</f>
        <v>712718</v>
      </c>
      <c r="D25" s="182">
        <f t="shared" si="0"/>
        <v>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851504.86</v>
      </c>
      <c r="D27" s="182">
        <f t="shared" si="0"/>
        <v>2.4</v>
      </c>
    </row>
    <row r="28" spans="1:4" x14ac:dyDescent="0.2">
      <c r="B28" s="187" t="s">
        <v>717</v>
      </c>
      <c r="C28" s="180">
        <f>SUM(C10:C27)</f>
        <v>35324975.859999999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175000</v>
      </c>
    </row>
    <row r="30" spans="1:4" x14ac:dyDescent="0.2">
      <c r="B30" s="187" t="s">
        <v>723</v>
      </c>
      <c r="C30" s="180">
        <f>SUM(C28:C29)</f>
        <v>35499975.859999999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1824515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19273230</v>
      </c>
      <c r="D35" s="182">
        <f t="shared" ref="D35:D40" si="1">ROUND((C35/$C$41)*100,1)</f>
        <v>50.7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825009.77000000328</v>
      </c>
      <c r="D36" s="182">
        <f t="shared" si="1"/>
        <v>2.2000000000000002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10521994</v>
      </c>
      <c r="D37" s="182">
        <f t="shared" si="1"/>
        <v>27.7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2045832</v>
      </c>
      <c r="D38" s="182">
        <f t="shared" si="1"/>
        <v>5.4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5351083</v>
      </c>
      <c r="D39" s="182">
        <f t="shared" si="1"/>
        <v>14.1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38017148.770000003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Laconia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2018-10-24T11:49:36Z</cp:lastPrinted>
  <dcterms:created xsi:type="dcterms:W3CDTF">1997-12-04T19:04:30Z</dcterms:created>
  <dcterms:modified xsi:type="dcterms:W3CDTF">2018-12-03T19:14:07Z</dcterms:modified>
</cp:coreProperties>
</file>