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2" i="1" l="1"/>
  <c r="F24" i="1"/>
  <c r="E12" i="2" l="1"/>
  <c r="C45" i="2"/>
  <c r="G51" i="1"/>
  <c r="G623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47" i="1" s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D7" i="13" s="1"/>
  <c r="C7" i="13" s="1"/>
  <c r="F12" i="13"/>
  <c r="G12" i="13"/>
  <c r="L205" i="1"/>
  <c r="L223" i="1"/>
  <c r="C121" i="2" s="1"/>
  <c r="L241" i="1"/>
  <c r="F14" i="13"/>
  <c r="G14" i="13"/>
  <c r="L207" i="1"/>
  <c r="L225" i="1"/>
  <c r="L243" i="1"/>
  <c r="F15" i="13"/>
  <c r="G15" i="13"/>
  <c r="L208" i="1"/>
  <c r="L226" i="1"/>
  <c r="L244" i="1"/>
  <c r="F17" i="13"/>
  <c r="D17" i="13" s="1"/>
  <c r="C17" i="13" s="1"/>
  <c r="G17" i="13"/>
  <c r="L251" i="1"/>
  <c r="F18" i="13"/>
  <c r="G18" i="13"/>
  <c r="D18" i="13" s="1"/>
  <c r="L252" i="1"/>
  <c r="F19" i="13"/>
  <c r="G19" i="13"/>
  <c r="L253" i="1"/>
  <c r="D19" i="13" s="1"/>
  <c r="F29" i="13"/>
  <c r="G29" i="13"/>
  <c r="L358" i="1"/>
  <c r="L362" i="1"/>
  <c r="C27" i="10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309" i="1" s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C25" i="10" s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407" i="1" s="1"/>
  <c r="C140" i="2" s="1"/>
  <c r="L266" i="1"/>
  <c r="J60" i="1"/>
  <c r="G56" i="2" s="1"/>
  <c r="G59" i="2"/>
  <c r="G62" i="2" s="1"/>
  <c r="G63" i="2" s="1"/>
  <c r="G61" i="2"/>
  <c r="F2" i="11"/>
  <c r="L613" i="1"/>
  <c r="H663" i="1"/>
  <c r="L612" i="1"/>
  <c r="G663" i="1"/>
  <c r="L611" i="1"/>
  <c r="F663" i="1"/>
  <c r="I663" i="1" s="1"/>
  <c r="C40" i="10"/>
  <c r="F60" i="1"/>
  <c r="G60" i="1"/>
  <c r="H60" i="1"/>
  <c r="H112" i="1" s="1"/>
  <c r="I60" i="1"/>
  <c r="F79" i="1"/>
  <c r="F94" i="1"/>
  <c r="F111" i="1"/>
  <c r="F112" i="1" s="1"/>
  <c r="G111" i="1"/>
  <c r="G112" i="1" s="1"/>
  <c r="H79" i="1"/>
  <c r="H94" i="1"/>
  <c r="E58" i="2" s="1"/>
  <c r="H111" i="1"/>
  <c r="I111" i="1"/>
  <c r="J111" i="1"/>
  <c r="J112" i="1" s="1"/>
  <c r="F121" i="1"/>
  <c r="F136" i="1"/>
  <c r="G121" i="1"/>
  <c r="G140" i="1" s="1"/>
  <c r="G136" i="1"/>
  <c r="H121" i="1"/>
  <c r="H136" i="1"/>
  <c r="H140" i="1" s="1"/>
  <c r="I121" i="1"/>
  <c r="I140" i="1" s="1"/>
  <c r="I136" i="1"/>
  <c r="J121" i="1"/>
  <c r="J136" i="1"/>
  <c r="J140" i="1" s="1"/>
  <c r="F147" i="1"/>
  <c r="F162" i="1"/>
  <c r="G147" i="1"/>
  <c r="G162" i="1"/>
  <c r="G169" i="1" s="1"/>
  <c r="H147" i="1"/>
  <c r="H162" i="1"/>
  <c r="I147" i="1"/>
  <c r="I162" i="1"/>
  <c r="I169" i="1" s="1"/>
  <c r="C13" i="10"/>
  <c r="L250" i="1"/>
  <c r="C113" i="2" s="1"/>
  <c r="L332" i="1"/>
  <c r="L254" i="1"/>
  <c r="L268" i="1"/>
  <c r="L269" i="1"/>
  <c r="L349" i="1"/>
  <c r="L350" i="1"/>
  <c r="I665" i="1"/>
  <c r="I670" i="1"/>
  <c r="H661" i="1"/>
  <c r="H662" i="1"/>
  <c r="I669" i="1"/>
  <c r="C42" i="10"/>
  <c r="C32" i="10"/>
  <c r="L374" i="1"/>
  <c r="F130" i="2" s="1"/>
  <c r="F144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/>
  <c r="L527" i="1"/>
  <c r="G550" i="1" s="1"/>
  <c r="L528" i="1"/>
  <c r="L529" i="1" s="1"/>
  <c r="L531" i="1"/>
  <c r="H549" i="1" s="1"/>
  <c r="L532" i="1"/>
  <c r="H550" i="1"/>
  <c r="L533" i="1"/>
  <c r="H551" i="1" s="1"/>
  <c r="L536" i="1"/>
  <c r="I549" i="1" s="1"/>
  <c r="K549" i="1" s="1"/>
  <c r="L537" i="1"/>
  <c r="I550" i="1" s="1"/>
  <c r="L538" i="1"/>
  <c r="I551" i="1"/>
  <c r="L541" i="1"/>
  <c r="J549" i="1" s="1"/>
  <c r="L542" i="1"/>
  <c r="L544" i="1" s="1"/>
  <c r="L543" i="1"/>
  <c r="J551" i="1" s="1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E18" i="2" s="1"/>
  <c r="F8" i="2"/>
  <c r="I439" i="1"/>
  <c r="J9" i="1" s="1"/>
  <c r="G8" i="2" s="1"/>
  <c r="C9" i="2"/>
  <c r="D9" i="2"/>
  <c r="D18" i="2" s="1"/>
  <c r="E9" i="2"/>
  <c r="F9" i="2"/>
  <c r="I440" i="1"/>
  <c r="J10" i="1"/>
  <c r="G9" i="2" s="1"/>
  <c r="C10" i="2"/>
  <c r="C11" i="2"/>
  <c r="D11" i="2"/>
  <c r="E11" i="2"/>
  <c r="F11" i="2"/>
  <c r="I441" i="1"/>
  <c r="J12" i="1" s="1"/>
  <c r="G11" i="2" s="1"/>
  <c r="C12" i="2"/>
  <c r="D12" i="2"/>
  <c r="F12" i="2"/>
  <c r="I442" i="1"/>
  <c r="J13" i="1" s="1"/>
  <c r="G12" i="2" s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F18" i="2" s="1"/>
  <c r="I445" i="1"/>
  <c r="J18" i="1" s="1"/>
  <c r="G17" i="2" s="1"/>
  <c r="C21" i="2"/>
  <c r="D21" i="2"/>
  <c r="E21" i="2"/>
  <c r="F21" i="2"/>
  <c r="I448" i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 s="1"/>
  <c r="G48" i="2"/>
  <c r="I456" i="1"/>
  <c r="J43" i="1" s="1"/>
  <c r="I457" i="1"/>
  <c r="J37" i="1"/>
  <c r="I459" i="1"/>
  <c r="J48" i="1" s="1"/>
  <c r="G47" i="2" s="1"/>
  <c r="C56" i="2"/>
  <c r="D56" i="2"/>
  <c r="F56" i="2"/>
  <c r="C57" i="2"/>
  <c r="E57" i="2"/>
  <c r="C58" i="2"/>
  <c r="C59" i="2"/>
  <c r="D59" i="2"/>
  <c r="E59" i="2"/>
  <c r="F59" i="2"/>
  <c r="F62" i="2" s="1"/>
  <c r="F63" i="2" s="1"/>
  <c r="D60" i="2"/>
  <c r="C61" i="2"/>
  <c r="D61" i="2"/>
  <c r="E61" i="2"/>
  <c r="F61" i="2"/>
  <c r="C66" i="2"/>
  <c r="C67" i="2"/>
  <c r="C69" i="2"/>
  <c r="C70" i="2" s="1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C78" i="2" s="1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D91" i="2" s="1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2" i="2"/>
  <c r="E112" i="2"/>
  <c r="E113" i="2"/>
  <c r="C114" i="2"/>
  <c r="D115" i="2"/>
  <c r="F115" i="2"/>
  <c r="G115" i="2"/>
  <c r="E118" i="2"/>
  <c r="E121" i="2"/>
  <c r="E122" i="2"/>
  <c r="E123" i="2"/>
  <c r="E125" i="2"/>
  <c r="D127" i="2"/>
  <c r="D128" i="2" s="1"/>
  <c r="F128" i="2"/>
  <c r="G128" i="2"/>
  <c r="C130" i="2"/>
  <c r="E130" i="2"/>
  <c r="D134" i="2"/>
  <c r="D144" i="2" s="1"/>
  <c r="F134" i="2"/>
  <c r="K419" i="1"/>
  <c r="K427" i="1"/>
  <c r="K434" i="1" s="1"/>
  <c r="G134" i="2" s="1"/>
  <c r="G144" i="2" s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G163" i="2" s="1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G32" i="1"/>
  <c r="H32" i="1"/>
  <c r="I32" i="1"/>
  <c r="H51" i="1"/>
  <c r="H52" i="1" s="1"/>
  <c r="H619" i="1" s="1"/>
  <c r="I51" i="1"/>
  <c r="F177" i="1"/>
  <c r="I177" i="1"/>
  <c r="I192" i="1" s="1"/>
  <c r="F183" i="1"/>
  <c r="G183" i="1"/>
  <c r="G192" i="1" s="1"/>
  <c r="H183" i="1"/>
  <c r="I183" i="1"/>
  <c r="J183" i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G434" i="1" s="1"/>
  <c r="H419" i="1"/>
  <c r="I419" i="1"/>
  <c r="J419" i="1"/>
  <c r="L421" i="1"/>
  <c r="L422" i="1"/>
  <c r="L423" i="1"/>
  <c r="L424" i="1"/>
  <c r="L425" i="1"/>
  <c r="L426" i="1"/>
  <c r="F427" i="1"/>
  <c r="F434" i="1" s="1"/>
  <c r="G427" i="1"/>
  <c r="H427" i="1"/>
  <c r="I427" i="1"/>
  <c r="J427" i="1"/>
  <c r="J434" i="1" s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G461" i="1" s="1"/>
  <c r="H640" i="1" s="1"/>
  <c r="H452" i="1"/>
  <c r="F460" i="1"/>
  <c r="G460" i="1"/>
  <c r="H460" i="1"/>
  <c r="F461" i="1"/>
  <c r="H639" i="1" s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F545" i="1" s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5" i="1" s="1"/>
  <c r="L564" i="1"/>
  <c r="F565" i="1"/>
  <c r="F571" i="1" s="1"/>
  <c r="G565" i="1"/>
  <c r="H565" i="1"/>
  <c r="H571" i="1" s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5" i="1"/>
  <c r="H627" i="1"/>
  <c r="H628" i="1"/>
  <c r="H629" i="1"/>
  <c r="H630" i="1"/>
  <c r="H631" i="1"/>
  <c r="H632" i="1"/>
  <c r="H633" i="1"/>
  <c r="G634" i="1"/>
  <c r="J634" i="1" s="1"/>
  <c r="H634" i="1"/>
  <c r="H635" i="1"/>
  <c r="H636" i="1"/>
  <c r="H637" i="1"/>
  <c r="H638" i="1"/>
  <c r="G641" i="1"/>
  <c r="G643" i="1"/>
  <c r="H643" i="1"/>
  <c r="J643" i="1" s="1"/>
  <c r="G644" i="1"/>
  <c r="H645" i="1"/>
  <c r="G650" i="1"/>
  <c r="G651" i="1"/>
  <c r="G652" i="1"/>
  <c r="H652" i="1"/>
  <c r="G653" i="1"/>
  <c r="H653" i="1"/>
  <c r="J653" i="1" s="1"/>
  <c r="G654" i="1"/>
  <c r="H654" i="1"/>
  <c r="H655" i="1"/>
  <c r="J655" i="1"/>
  <c r="F192" i="1"/>
  <c r="I257" i="1"/>
  <c r="I271" i="1" s="1"/>
  <c r="L328" i="1"/>
  <c r="C18" i="13"/>
  <c r="C19" i="13"/>
  <c r="L419" i="1"/>
  <c r="F476" i="1"/>
  <c r="H622" i="1" s="1"/>
  <c r="F22" i="13"/>
  <c r="C22" i="13" s="1"/>
  <c r="J545" i="1"/>
  <c r="F338" i="1"/>
  <c r="F352" i="1" s="1"/>
  <c r="G545" i="1"/>
  <c r="G162" i="2"/>
  <c r="G103" i="2"/>
  <c r="E50" i="2"/>
  <c r="F50" i="2"/>
  <c r="C24" i="10"/>
  <c r="I338" i="1"/>
  <c r="I352" i="1" s="1"/>
  <c r="J654" i="1"/>
  <c r="C6" i="10"/>
  <c r="C5" i="10"/>
  <c r="G42" i="2"/>
  <c r="H434" i="1"/>
  <c r="I434" i="1"/>
  <c r="L524" i="1"/>
  <c r="L545" i="1" s="1"/>
  <c r="G661" i="1"/>
  <c r="C109" i="2"/>
  <c r="G635" i="1"/>
  <c r="J635" i="1" s="1"/>
  <c r="F661" i="1"/>
  <c r="F140" i="1" l="1"/>
  <c r="A22" i="12"/>
  <c r="L351" i="1"/>
  <c r="J652" i="1"/>
  <c r="G476" i="1"/>
  <c r="H623" i="1" s="1"/>
  <c r="I460" i="1"/>
  <c r="L337" i="1"/>
  <c r="F50" i="1"/>
  <c r="G160" i="2"/>
  <c r="G159" i="2"/>
  <c r="G158" i="2"/>
  <c r="G156" i="2"/>
  <c r="F91" i="2"/>
  <c r="F78" i="2"/>
  <c r="F81" i="2" s="1"/>
  <c r="D62" i="2"/>
  <c r="D63" i="2" s="1"/>
  <c r="J550" i="1"/>
  <c r="J552" i="1" s="1"/>
  <c r="G551" i="1"/>
  <c r="I193" i="1"/>
  <c r="G630" i="1" s="1"/>
  <c r="J630" i="1" s="1"/>
  <c r="I112" i="1"/>
  <c r="D29" i="13"/>
  <c r="C29" i="13" s="1"/>
  <c r="D50" i="2"/>
  <c r="F51" i="2"/>
  <c r="C23" i="10"/>
  <c r="K500" i="1"/>
  <c r="H476" i="1"/>
  <c r="H624" i="1" s="1"/>
  <c r="I476" i="1"/>
  <c r="H625" i="1" s="1"/>
  <c r="J625" i="1" s="1"/>
  <c r="G338" i="1"/>
  <c r="G352" i="1" s="1"/>
  <c r="K257" i="1"/>
  <c r="K271" i="1" s="1"/>
  <c r="D145" i="2"/>
  <c r="E103" i="2"/>
  <c r="F103" i="2"/>
  <c r="D81" i="2"/>
  <c r="C18" i="10"/>
  <c r="A13" i="12"/>
  <c r="E119" i="2"/>
  <c r="C11" i="10"/>
  <c r="C110" i="2"/>
  <c r="K551" i="1"/>
  <c r="J651" i="1"/>
  <c r="K571" i="1"/>
  <c r="G571" i="1"/>
  <c r="L570" i="1"/>
  <c r="I571" i="1"/>
  <c r="L560" i="1"/>
  <c r="K545" i="1"/>
  <c r="I545" i="1"/>
  <c r="H545" i="1"/>
  <c r="L433" i="1"/>
  <c r="L427" i="1"/>
  <c r="L434" i="1" s="1"/>
  <c r="G638" i="1" s="1"/>
  <c r="J638" i="1" s="1"/>
  <c r="J257" i="1"/>
  <c r="F257" i="1"/>
  <c r="F271" i="1" s="1"/>
  <c r="F31" i="2"/>
  <c r="L270" i="1"/>
  <c r="C10" i="10"/>
  <c r="D12" i="13"/>
  <c r="C12" i="13" s="1"/>
  <c r="K605" i="1"/>
  <c r="G648" i="1" s="1"/>
  <c r="L393" i="1"/>
  <c r="C138" i="2" s="1"/>
  <c r="J644" i="1"/>
  <c r="E110" i="2"/>
  <c r="C16" i="10"/>
  <c r="G257" i="1"/>
  <c r="G271" i="1" s="1"/>
  <c r="C81" i="2"/>
  <c r="D103" i="2"/>
  <c r="I661" i="1"/>
  <c r="J623" i="1"/>
  <c r="G52" i="1"/>
  <c r="H618" i="1" s="1"/>
  <c r="L401" i="1"/>
  <c r="C139" i="2" s="1"/>
  <c r="J639" i="1"/>
  <c r="G18" i="2"/>
  <c r="J19" i="1"/>
  <c r="G621" i="1" s="1"/>
  <c r="J618" i="1"/>
  <c r="G624" i="1"/>
  <c r="J624" i="1" s="1"/>
  <c r="J619" i="1"/>
  <c r="E31" i="2"/>
  <c r="E51" i="2" s="1"/>
  <c r="D31" i="2"/>
  <c r="D51" i="2" s="1"/>
  <c r="C31" i="2"/>
  <c r="C18" i="2"/>
  <c r="D104" i="2"/>
  <c r="C38" i="10"/>
  <c r="G193" i="1"/>
  <c r="G628" i="1" s="1"/>
  <c r="J628" i="1" s="1"/>
  <c r="B164" i="2"/>
  <c r="G164" i="2" s="1"/>
  <c r="K503" i="1"/>
  <c r="C103" i="2"/>
  <c r="C124" i="2"/>
  <c r="H647" i="1"/>
  <c r="J647" i="1" s="1"/>
  <c r="D15" i="13"/>
  <c r="C15" i="13" s="1"/>
  <c r="F662" i="1"/>
  <c r="I662" i="1" s="1"/>
  <c r="D14" i="13"/>
  <c r="C14" i="13" s="1"/>
  <c r="C20" i="10"/>
  <c r="C125" i="2"/>
  <c r="E16" i="13"/>
  <c r="C16" i="13" s="1"/>
  <c r="L571" i="1"/>
  <c r="F145" i="2"/>
  <c r="I552" i="1"/>
  <c r="K550" i="1"/>
  <c r="K552" i="1" s="1"/>
  <c r="E143" i="2"/>
  <c r="C26" i="10"/>
  <c r="C21" i="10"/>
  <c r="E56" i="2"/>
  <c r="C35" i="10"/>
  <c r="H25" i="13"/>
  <c r="E132" i="2"/>
  <c r="E144" i="2" s="1"/>
  <c r="E124" i="2"/>
  <c r="E128" i="2" s="1"/>
  <c r="L290" i="1"/>
  <c r="E111" i="2"/>
  <c r="K338" i="1"/>
  <c r="K352" i="1" s="1"/>
  <c r="G31" i="13"/>
  <c r="G33" i="13" s="1"/>
  <c r="F31" i="13"/>
  <c r="F33" i="13" s="1"/>
  <c r="J338" i="1"/>
  <c r="J352" i="1" s="1"/>
  <c r="C123" i="2"/>
  <c r="D6" i="13"/>
  <c r="C6" i="13" s="1"/>
  <c r="C118" i="2"/>
  <c r="C15" i="10"/>
  <c r="L229" i="1"/>
  <c r="G660" i="1" s="1"/>
  <c r="G664" i="1" s="1"/>
  <c r="C111" i="2"/>
  <c r="C115" i="2" s="1"/>
  <c r="E115" i="2"/>
  <c r="C29" i="10"/>
  <c r="L382" i="1"/>
  <c r="G636" i="1" s="1"/>
  <c r="J636" i="1" s="1"/>
  <c r="C85" i="2"/>
  <c r="C91" i="2" s="1"/>
  <c r="F169" i="1"/>
  <c r="I446" i="1"/>
  <c r="G642" i="1" s="1"/>
  <c r="L211" i="1"/>
  <c r="G649" i="1"/>
  <c r="J649" i="1" s="1"/>
  <c r="F552" i="1"/>
  <c r="L256" i="1"/>
  <c r="H257" i="1"/>
  <c r="H271" i="1" s="1"/>
  <c r="J192" i="1"/>
  <c r="J193" i="1" s="1"/>
  <c r="G645" i="1"/>
  <c r="J645" i="1" s="1"/>
  <c r="I52" i="1"/>
  <c r="H620" i="1" s="1"/>
  <c r="J620" i="1" s="1"/>
  <c r="G81" i="2"/>
  <c r="G104" i="2" s="1"/>
  <c r="H552" i="1"/>
  <c r="G552" i="1"/>
  <c r="H660" i="1"/>
  <c r="H664" i="1" s="1"/>
  <c r="E62" i="2"/>
  <c r="J22" i="1"/>
  <c r="I452" i="1"/>
  <c r="H169" i="1"/>
  <c r="H193" i="1" s="1"/>
  <c r="G629" i="1" s="1"/>
  <c r="J629" i="1" s="1"/>
  <c r="E85" i="2"/>
  <c r="E91" i="2" s="1"/>
  <c r="D5" i="13"/>
  <c r="C19" i="10"/>
  <c r="C122" i="2"/>
  <c r="E13" i="13"/>
  <c r="C13" i="13" s="1"/>
  <c r="J271" i="1"/>
  <c r="H461" i="1"/>
  <c r="H641" i="1" s="1"/>
  <c r="J641" i="1" s="1"/>
  <c r="J640" i="1"/>
  <c r="G157" i="2"/>
  <c r="G145" i="2"/>
  <c r="C62" i="2"/>
  <c r="C63" i="2" s="1"/>
  <c r="G36" i="2"/>
  <c r="G50" i="2" s="1"/>
  <c r="J51" i="1"/>
  <c r="C17" i="10"/>
  <c r="C120" i="2"/>
  <c r="E8" i="13"/>
  <c r="E63" i="2" l="1"/>
  <c r="I461" i="1"/>
  <c r="H642" i="1" s="1"/>
  <c r="F51" i="1"/>
  <c r="C49" i="2"/>
  <c r="C50" i="2" s="1"/>
  <c r="C51" i="2" s="1"/>
  <c r="C128" i="2"/>
  <c r="F104" i="2"/>
  <c r="L408" i="1"/>
  <c r="G637" i="1" s="1"/>
  <c r="J637" i="1" s="1"/>
  <c r="C141" i="2"/>
  <c r="C144" i="2" s="1"/>
  <c r="C145" i="2" s="1"/>
  <c r="C28" i="10"/>
  <c r="D16" i="10" s="1"/>
  <c r="J642" i="1"/>
  <c r="C30" i="10"/>
  <c r="G646" i="1"/>
  <c r="G631" i="1"/>
  <c r="J631" i="1" s="1"/>
  <c r="H646" i="1"/>
  <c r="E33" i="13"/>
  <c r="D35" i="13" s="1"/>
  <c r="C8" i="13"/>
  <c r="G626" i="1"/>
  <c r="L257" i="1"/>
  <c r="L271" i="1" s="1"/>
  <c r="G632" i="1" s="1"/>
  <c r="J632" i="1" s="1"/>
  <c r="F660" i="1"/>
  <c r="C36" i="10"/>
  <c r="C5" i="13"/>
  <c r="J32" i="1"/>
  <c r="J52" i="1" s="1"/>
  <c r="H621" i="1" s="1"/>
  <c r="J621" i="1" s="1"/>
  <c r="G21" i="2"/>
  <c r="G31" i="2" s="1"/>
  <c r="G51" i="2" s="1"/>
  <c r="H672" i="1"/>
  <c r="H667" i="1"/>
  <c r="G672" i="1"/>
  <c r="G667" i="1"/>
  <c r="E104" i="2"/>
  <c r="L338" i="1"/>
  <c r="L352" i="1" s="1"/>
  <c r="G633" i="1" s="1"/>
  <c r="J633" i="1" s="1"/>
  <c r="D31" i="13"/>
  <c r="C31" i="13" s="1"/>
  <c r="C104" i="2"/>
  <c r="C39" i="10"/>
  <c r="F193" i="1"/>
  <c r="G627" i="1" s="1"/>
  <c r="J627" i="1" s="1"/>
  <c r="E145" i="2"/>
  <c r="H33" i="13"/>
  <c r="C25" i="13"/>
  <c r="D21" i="10"/>
  <c r="H648" i="1"/>
  <c r="J648" i="1" s="1"/>
  <c r="G622" i="1" l="1"/>
  <c r="J622" i="1" s="1"/>
  <c r="F52" i="1"/>
  <c r="H617" i="1" s="1"/>
  <c r="J617" i="1" s="1"/>
  <c r="D17" i="10"/>
  <c r="D13" i="10"/>
  <c r="D18" i="10"/>
  <c r="D15" i="10"/>
  <c r="D22" i="10"/>
  <c r="D26" i="10"/>
  <c r="D27" i="10"/>
  <c r="D11" i="10"/>
  <c r="D20" i="10"/>
  <c r="D12" i="10"/>
  <c r="D25" i="10"/>
  <c r="D24" i="10"/>
  <c r="D19" i="10"/>
  <c r="D10" i="10"/>
  <c r="D23" i="10"/>
  <c r="D33" i="13"/>
  <c r="D36" i="13" s="1"/>
  <c r="F664" i="1"/>
  <c r="I660" i="1"/>
  <c r="I664" i="1" s="1"/>
  <c r="C41" i="10"/>
  <c r="D39" i="10" s="1"/>
  <c r="J626" i="1"/>
  <c r="H656" i="1"/>
  <c r="J646" i="1"/>
  <c r="D28" i="10" l="1"/>
  <c r="I672" i="1"/>
  <c r="C7" i="10" s="1"/>
  <c r="I667" i="1"/>
  <c r="F672" i="1"/>
  <c r="C4" i="10" s="1"/>
  <c r="F667" i="1"/>
  <c r="D37" i="10"/>
  <c r="D40" i="10"/>
  <c r="D35" i="10"/>
  <c r="D38" i="10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<sst xmlns="http://schemas.openxmlformats.org/spreadsheetml/2006/main" count="3957" uniqueCount="913">
  <si>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</si>
  <si>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</si>
  <si>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</si>
  <si>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</si>
  <si>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</si>
  <si>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</si>
  <si>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</si>
  <si>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</si>
  <si>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</si>
  <si>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</si>
  <si>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</si>
  <si>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</si>
  <si>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</si>
  <si>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</si>
  <si>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</si>
  <si>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</si>
  <si>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</si>
  <si>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</si>
  <si>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</si>
  <si>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</si>
  <si>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</si>
  <si>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</si>
  <si>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</si>
  <si>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</si>
  <si>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</si>
  <si>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</si>
  <si>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</si>
  <si>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</si>
  <si>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</si>
  <si>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</si>
  <si>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</si>
  <si>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</si>
  <si>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</si>
  <si>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</si>
  <si>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</si>
  <si>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</si>
  <si>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</si>
  <si>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</si>
  <si>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</si>
  <si>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</si>
  <si>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</si>
  <si>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</si>
  <si>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</si>
  <si>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</si>
  <si>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</si>
  <si>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</si>
  <si>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</si>
  <si>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</si>
  <si>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</si>
  <si>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</si>
  <si>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</si>
  <si>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</si>
  <si>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</si>
  <si>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</si>
  <si>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</si>
  <si>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</si>
  <si>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</si>
  <si>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</si>
  <si>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</si>
  <si>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</si>
  <si>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</si>
  <si>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</si>
  <si>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</si>
  <si>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</si>
  <si>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</si>
  <si>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</si>
  <si>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</si>
  <si>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</si>
  <si>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</si>
  <si>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</si>
  <si>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</si>
  <si>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</si>
  <si>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</si>
  <si>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</si>
  <si>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</si>
  <si>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</si>
  <si>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</si>
  <si>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</si>
  <si>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</si>
  <si>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</si>
  <si>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</si>
  <si>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</si>
  <si>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</si>
  <si>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</si>
  <si>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</si>
  <si>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</si>
  <si>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</si>
  <si>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</si>
  <si>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</si>
  <si>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</si>
  <si>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</si>
  <si>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</si>
  <si>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</si>
  <si>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</si>
  <si>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</si>
  <si>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</si>
  <si>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</si>
  <si>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</si>
  <si>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</si>
  <si>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</si>
  <si>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</si>
  <si>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</si>
  <si>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</si>
  <si>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</si>
  <si>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</si>
  <si>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</si>
  <si>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</si>
  <si>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</si>
  <si>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</si>
  <si>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</si>
  <si>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</si>
  <si>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</si>
  <si>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</si>
  <si>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</si>
  <si>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</si>
  <si>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</si>
  <si>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</si>
  <si>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</si>
  <si>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</si>
  <si>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</si>
  <si>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</si>
  <si>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</si>
  <si>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</si>
  <si>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</si>
  <si>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</si>
  <si>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</si>
  <si>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</si>
  <si>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</si>
  <si>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</si>
  <si>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</si>
  <si>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</si>
  <si>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</si>
  <si>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</si>
  <si>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</si>
  <si>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</si>
  <si>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</si>
  <si>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</si>
  <si>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</si>
  <si>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</si>
  <si>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</si>
  <si>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</si>
  <si>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</si>
  <si>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</si>
  <si>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</si>
  <si>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</si>
  <si>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</si>
  <si>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</si>
  <si>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</si>
  <si>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</si>
  <si>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</si>
  <si>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</si>
  <si>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</si>
  <si>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</si>
  <si>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</si>
  <si>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</si>
  <si>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</si>
  <si>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</si>
  <si>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</si>
  <si>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</si>
  <si>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</si>
  <si>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</si>
  <si>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</si>
  <si>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</si>
  <si>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</si>
  <si>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</si>
  <si>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</si>
  <si>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</si>
  <si>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</si>
  <si>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</si>
  <si>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</si>
  <si>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</si>
  <si>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</si>
  <si>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</si>
  <si>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</si>
  <si>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</si>
  <si>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</si>
  <si>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</si>
  <si>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</si>
  <si>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</si>
  <si>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</si>
  <si>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</si>
  <si>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</si>
  <si>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</si>
  <si>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</si>
  <si>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</si>
  <si>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</si>
  <si>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</si>
  <si>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</si>
  <si>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</si>
  <si>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</si>
  <si>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</si>
  <si>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</si>
  <si>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</si>
  <si>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</si>
  <si>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</si>
  <si>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</si>
  <si>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</si>
  <si>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</si>
  <si>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</si>
  <si>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</si>
  <si>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</si>
  <si>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</si>
  <si>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</si>
  <si>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</si>
  <si>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</si>
  <si>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</si>
  <si>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</si>
  <si>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</si>
  <si>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</si>
  <si>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</si>
  <si>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</si>
  <si>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</si>
  <si>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</si>
  <si>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</si>
  <si>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</si>
  <si>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</si>
  <si>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</si>
  <si>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</si>
  <si>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</si>
  <si>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</si>
  <si>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</si>
  <si>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</si>
  <si>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</si>
  <si>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</si>
  <si>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</si>
  <si>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</si>
  <si>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</si>
  <si>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</si>
  <si>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</si>
  <si>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</si>
  <si>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</si>
  <si>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</si>
  <si>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</si>
  <si>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</si>
  <si>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</si>
  <si>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</si>
  <si>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</si>
  <si>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</si>
  <si>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</si>
  <si>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</si>
  <si>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</si>
  <si>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</si>
  <si>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</si>
  <si>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</si>
  <si>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</si>
  <si>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</si>
  <si>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</si>
  <si>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</si>
  <si>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</si>
  <si>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</si>
  <si>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</si>
  <si>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</si>
  <si>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</si>
  <si>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</si>
  <si>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</si>
  <si>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</si>
  <si>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</si>
  <si>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</si>
  <si>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</si>
  <si>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</si>
  <si>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</si>
  <si>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</si>
  <si>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</si>
  <si>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</si>
  <si>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</si>
  <si>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</si>
  <si>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</si>
  <si>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</si>
  <si>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</si>
  <si>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</si>
  <si>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</si>
  <si>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</si>
  <si>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</si>
  <si>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</si>
  <si>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</si>
  <si>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</si>
  <si>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</si>
  <si>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</si>
  <si>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</si>
  <si>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</si>
  <si>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</si>
  <si>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</si>
  <si>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</si>
  <si>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</si>
  <si>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</si>
  <si>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</si>
  <si>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</si>
  <si>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</si>
  <si>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</si>
  <si>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</si>
  <si>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</si>
  <si>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</si>
  <si>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</si>
  <si>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</si>
  <si>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</si>
  <si>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</si>
  <si>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</si>
  <si>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</si>
  <si>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</si>
  <si>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</si>
  <si>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</si>
  <si>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</si>
  <si>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</si>
  <si>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</si>
  <si>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</si>
  <si>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</si>
  <si>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</si>
  <si>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</si>
  <si>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</si>
  <si>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</si>
  <si>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</si>
  <si>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</si>
  <si>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</si>
  <si>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</si>
  <si>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</si>
  <si>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</si>
  <si>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</si>
  <si>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</si>
  <si>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</si>
  <si>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</si>
  <si>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</si>
  <si>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</si>
  <si>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</si>
  <si>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</si>
  <si>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</si>
  <si>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</si>
  <si>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</si>
  <si>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</si>
  <si>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</si>
  <si>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</si>
  <si>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</si>
  <si>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</si>
  <si>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</si>
  <si>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</si>
  <si>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</si>
  <si>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</si>
  <si>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</si>
  <si>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</si>
  <si>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</si>
  <si>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</si>
  <si>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</si>
  <si>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</si>
  <si>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</si>
  <si>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</si>
  <si>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</si>
  <si>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</si>
  <si>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</si>
  <si>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</si>
  <si>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</si>
  <si>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</si>
  <si>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</si>
  <si>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</si>
  <si>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</si>
  <si>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</si>
  <si>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</si>
  <si>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</si>
  <si>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</si>
  <si>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</si>
  <si>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</si>
  <si>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</si>
  <si>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</si>
  <si>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</si>
  <si>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</si>
  <si>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</si>
  <si>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</si>
  <si>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</si>
  <si>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</si>
  <si>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</si>
  <si>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</si>
  <si>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</si>
  <si>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</si>
  <si>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</si>
  <si>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</si>
  <si>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</si>
  <si>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</si>
  <si>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</si>
  <si>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</si>
  <si>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</si>
  <si>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</si>
  <si>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</si>
  <si>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</si>
  <si>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</si>
  <si>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</si>
  <si>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</si>
  <si>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</si>
  <si>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</si>
  <si>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</si>
  <si>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</si>
  <si>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</si>
  <si>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</si>
  <si>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</si>
  <si>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</si>
  <si>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</si>
  <si>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</si>
  <si>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</si>
  <si>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</si>
  <si>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</si>
  <si>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</si>
  <si>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</si>
  <si>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</si>
  <si>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</si>
  <si>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</si>
  <si>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</si>
  <si>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</si>
  <si>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</si>
  <si>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</si>
  <si>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</si>
  <si>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</si>
  <si>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</si>
  <si>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</si>
  <si>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</si>
  <si>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</si>
  <si>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</si>
  <si>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</si>
  <si>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</si>
  <si>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</si>
  <si>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</si>
  <si>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</si>
  <si>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</si>
  <si>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</si>
  <si>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</si>
  <si>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</si>
  <si>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</si>
  <si>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</si>
  <si>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</si>
  <si>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</si>
  <si>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</si>
  <si>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</si>
  <si>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</si>
  <si>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</si>
  <si>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</si>
  <si>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</si>
  <si>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</si>
  <si>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</si>
  <si>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</si>
  <si>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</si>
  <si>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</si>
  <si>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</si>
  <si>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</si>
  <si>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</si>
  <si>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</si>
  <si>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</si>
  <si>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</si>
  <si>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</si>
  <si>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</si>
  <si>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</si>
  <si>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</si>
  <si>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</si>
  <si>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</si>
  <si>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</si>
  <si>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</si>
  <si>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</si>
  <si>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</si>
  <si>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</si>
  <si>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</si>
  <si>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</si>
  <si>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</si>
  <si>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</si>
  <si>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</si>
  <si>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</si>
  <si>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</si>
  <si>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</si>
  <si>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</si>
  <si>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</si>
  <si>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</si>
  <si>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</si>
  <si>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</si>
  <si>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</si>
  <si>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</si>
  <si>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</si>
  <si>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</si>
  <si>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</si>
  <si>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</si>
  <si>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</si>
  <si>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</si>
  <si>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</si>
  <si>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</si>
  <si>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</si>
  <si>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</si>
  <si>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</si>
  <si>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</si>
  <si>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</si>
  <si>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</si>
  <si>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</si>
  <si>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</si>
  <si>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</si>
  <si>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</si>
  <si>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</si>
  <si>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</si>
  <si>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</si>
  <si>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</si>
  <si>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</si>
  <si>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</si>
  <si>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</si>
  <si>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</si>
  <si>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</si>
  <si>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</si>
  <si>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</si>
  <si>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</si>
  <si>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</si>
  <si>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</si>
  <si>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</si>
  <si>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</si>
  <si>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</si>
  <si>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</si>
  <si>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</si>
  <si>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</si>
  <si>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</si>
  <si>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</si>
  <si>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</si>
  <si>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</si>
  <si>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</si>
  <si>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</si>
  <si>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</si>
  <si>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</si>
  <si>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</si>
  <si>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</si>
  <si>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</si>
  <si>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</si>
  <si>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</si>
  <si>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</si>
  <si>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</si>
  <si>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</si>
  <si>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</si>
  <si>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</si>
  <si>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</si>
  <si>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</si>
  <si>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</si>
  <si>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</si>
  <si>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</si>
  <si>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</si>
  <si>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</si>
  <si>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</si>
  <si>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</si>
  <si>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</si>
  <si>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</si>
  <si>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</si>
  <si>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</si>
  <si>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</si>
  <si>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</si>
  <si>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</si>
  <si>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</si>
  <si>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</si>
  <si>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</si>
  <si>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</si>
  <si>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</si>
  <si>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</si>
  <si>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</si>
  <si>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</si>
  <si>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</si>
  <si>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</si>
  <si>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</si>
  <si>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</si>
  <si>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</si>
  <si>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</si>
  <si>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</si>
  <si>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</si>
  <si>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</si>
  <si>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</si>
  <si>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</si>
  <si>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</si>
  <si>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</si>
  <si>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</si>
  <si>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</si>
  <si>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</si>
  <si>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</si>
  <si>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</si>
  <si>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</si>
  <si>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</si>
  <si>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</si>
  <si>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</si>
  <si>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</si>
  <si>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</si>
  <si>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</si>
  <si>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</si>
  <si>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</si>
  <si>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</si>
  <si>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</si>
  <si>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</si>
  <si>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</si>
  <si>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</si>
  <si>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</si>
  <si>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</si>
  <si>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</si>
  <si>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</si>
  <si>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</si>
  <si>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</si>
  <si>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</si>
  <si>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</si>
  <si>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</si>
  <si>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</si>
  <si>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</si>
  <si>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</si>
  <si>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</si>
  <si>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</si>
  <si>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</si>
  <si>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</si>
  <si>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</si>
  <si>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</si>
  <si>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</si>
  <si>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</si>
  <si>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</si>
  <si>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</si>
  <si>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</si>
  <si>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</si>
  <si>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</si>
  <si>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</si>
  <si>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</si>
  <si>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</si>
  <si>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</si>
  <si>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</si>
  <si>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</si>
  <si>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</si>
  <si>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</si>
  <si>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</si>
  <si>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</si>
  <si>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</si>
  <si>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</si>
  <si>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</si>
  <si>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</si>
  <si>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</si>
  <si>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</si>
  <si>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</si>
  <si>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</si>
  <si>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</si>
  <si>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</si>
  <si>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</si>
  <si>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</si>
  <si>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</si>
  <si>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</si>
  <si>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</si>
  <si>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</si>
  <si>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</si>
  <si>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</si>
  <si>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</si>
  <si>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</si>
  <si>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</si>
  <si>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</si>
  <si>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</si>
  <si>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</si>
  <si>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</si>
  <si>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</si>
  <si>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</si>
  <si>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</si>
  <si>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</si>
  <si>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</si>
  <si>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</si>
  <si>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</si>
  <si>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</si>
  <si>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</si>
  <si>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</si>
  <si>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</si>
  <si>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</si>
  <si>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</si>
  <si>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</si>
  <si>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</si>
  <si>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</si>
  <si>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</si>
  <si>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</si>
  <si>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</si>
  <si>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</si>
  <si>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</si>
  <si>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</si>
  <si>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</si>
  <si>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</si>
  <si>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</si>
  <si>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</si>
  <si>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</si>
  <si>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</si>
  <si>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</si>
  <si>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</si>
  <si>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</si>
  <si>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</si>
  <si>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</si>
  <si>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</si>
  <si>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</si>
  <si>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</si>
  <si>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</si>
  <si>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</si>
  <si>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</si>
  <si>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</si>
  <si>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</si>
  <si>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</si>
  <si>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</si>
  <si>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</si>
  <si>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</si>
  <si>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</si>
  <si>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</si>
  <si>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</si>
  <si>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</si>
  <si>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</si>
  <si>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</si>
  <si>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</si>
  <si>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</si>
  <si>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</si>
  <si>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</si>
  <si>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</si>
  <si>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</si>
  <si>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</si>
  <si>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</si>
  <si>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</si>
  <si>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</si>
  <si>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</si>
  <si>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</si>
  <si>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</si>
  <si>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</si>
  <si>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</si>
  <si>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</si>
  <si>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</si>
  <si>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</si>
  <si>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</si>
  <si>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</si>
  <si>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</si>
  <si>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</si>
  <si>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</si>
  <si>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</si>
  <si>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</si>
  <si>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</si>
  <si>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</si>
  <si>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</si>
  <si>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</si>
  <si>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</si>
  <si>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</si>
  <si>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</si>
  <si>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</si>
  <si>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</si>
  <si>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</si>
  <si>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</si>
  <si>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</si>
  <si>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</si>
  <si>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</si>
  <si>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</si>
  <si>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</si>
  <si>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</si>
  <si>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</si>
  <si>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</si>
  <si>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</si>
  <si>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</si>
  <si>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</si>
  <si>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</si>
  <si>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</si>
  <si>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</si>
  <si>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</si>
  <si>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</si>
  <si>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</si>
  <si>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</si>
  <si>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</si>
  <si>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</si>
  <si>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</si>
  <si>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</si>
  <si>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</si>
  <si>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</si>
  <si>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</si>
  <si>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</si>
  <si>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</si>
  <si>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</si>
  <si>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</si>
  <si>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</si>
  <si>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</si>
  <si>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</si>
  <si>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</si>
  <si>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</si>
  <si>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</si>
  <si>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</si>
  <si>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</si>
  <si>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</si>
  <si>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</si>
  <si>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</si>
  <si>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</si>
  <si>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</si>
  <si>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</si>
  <si>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</si>
  <si>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</si>
  <si>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</si>
  <si>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</si>
  <si>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</si>
  <si>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</si>
  <si>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</si>
  <si>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</si>
  <si>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</si>
  <si>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</si>
  <si>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</si>
  <si>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</si>
  <si>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</si>
  <si>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</si>
  <si>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</si>
  <si>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</si>
  <si>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</si>
  <si>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</si>
  <si>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</si>
  <si>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</si>
  <si>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</si>
  <si>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</si>
  <si>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</si>
  <si>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</si>
  <si>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</si>
  <si>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</si>
  <si>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</si>
  <si>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</si>
  <si>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</si>
  <si>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</si>
  <si>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</si>
  <si>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</si>
  <si>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</si>
  <si>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</si>
  <si>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</si>
  <si>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</si>
  <si>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</si>
  <si>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</si>
  <si>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</si>
  <si>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</si>
  <si>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</si>
  <si>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</si>
  <si>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</si>
  <si>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</si>
  <si>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</si>
  <si>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</si>
  <si>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</si>
  <si>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</si>
  <si>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</si>
  <si>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</si>
  <si>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</si>
  <si>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</si>
  <si>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</si>
  <si>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</si>
  <si>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</si>
  <si>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</si>
  <si>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</si>
  <si>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</si>
  <si>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</si>
  <si>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</si>
  <si>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</si>
  <si>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</si>
  <si>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</si>
  <si>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</si>
  <si>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</si>
  <si>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</si>
  <si>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</si>
  <si>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</si>
  <si>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</si>
  <si>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</si>
  <si>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</si>
  <si>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</si>
  <si>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</si>
  <si>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</si>
  <si>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</si>
  <si>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</si>
  <si>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</si>
  <si>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</si>
  <si>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</si>
  <si>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</si>
  <si>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</si>
  <si>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</si>
  <si>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</si>
  <si>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</si>
  <si>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</si>
  <si>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</si>
  <si>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</si>
  <si>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</si>
  <si>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</si>
  <si>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</si>
  <si>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</si>
  <si>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</si>
  <si>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</si>
  <si>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</si>
  <si>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</si>
  <si>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</si>
  <si>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</si>
  <si>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</si>
  <si>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</si>
  <si>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</si>
  <si>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</si>
  <si>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</si>
  <si>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</si>
  <si>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</si>
  <si>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</si>
  <si>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</si>
  <si>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</si>
  <si>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</si>
  <si>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</si>
  <si>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</si>
  <si>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</si>
  <si>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</si>
  <si>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</si>
  <si>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</si>
  <si>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</si>
  <si>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</si>
  <si>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</si>
  <si>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</si>
  <si>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</si>
  <si>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</si>
  <si>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</si>
  <si>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</si>
  <si>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</si>
  <si>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</si>
  <si>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</si>
  <si>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</si>
  <si>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</si>
  <si>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</si>
  <si>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</si>
  <si>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</si>
  <si>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</si>
  <si>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indexed="8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</si>
  <si>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</si>
  <si>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</si>
  <si>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</si>
  <si>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</si>
  <si>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</si>
  <si>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</si>
  <si>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</si>
  <si>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</si>
  <si>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</si>
  <si>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LAFAYETTE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</si>
</sst>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0_)"/>
    <numFmt numFmtId="166" formatCode="0.0%"/>
    <numFmt numFmtId="167" formatCode="0.0"/>
    <numFmt numFmtId="168" formatCode="#,##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168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  <pageSetUpPr fitToPage="1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288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108638.55</v>
      </c>
      <c r="G9" s="18">
        <v>0</v>
      </c>
      <c r="H9" s="18">
        <v>0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0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234246.16</v>
      </c>
      <c r="K10" s="24" t="s">
        <v>286</v>
      </c>
      <c r="L10" s="24" t="s">
        <v>286</v>
      </c>
      <c r="M10" s="8"/>
      <c r="N10" s="270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0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21750.23</v>
      </c>
      <c r="G12" s="18">
        <v>5113.1400000000003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0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3447.23</v>
      </c>
      <c r="H13" s="18">
        <v>24599.29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0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57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0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0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0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0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0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130445.78</v>
      </c>
      <c r="G19" s="41">
        <f>SUM(G9:G18)</f>
        <v>8560.3700000000008</v>
      </c>
      <c r="H19" s="41">
        <f>SUM(H9:H18)</f>
        <v>24599.29</v>
      </c>
      <c r="I19" s="41">
        <f>SUM(I9:I18)</f>
        <v>0</v>
      </c>
      <c r="J19" s="41">
        <f>SUM(J9:J18)</f>
        <v>234246.16</v>
      </c>
      <c r="K19" s="45" t="s">
        <v>286</v>
      </c>
      <c r="L19" s="45" t="s">
        <v>286</v>
      </c>
      <c r="M19" s="8"/>
      <c r="N19" s="270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0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f>F12-16637.09</f>
        <v>5113.1399999999994</v>
      </c>
      <c r="G22" s="18"/>
      <c r="H22" s="18">
        <v>21750.23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0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6773.67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0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10027.86-F23</f>
        <v>3254.1900000000005</v>
      </c>
      <c r="G24" s="18"/>
      <c r="H24" s="18">
        <v>2849.06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0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8">
        <v>6239</v>
      </c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0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0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0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0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0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0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>
        <v>2321.37</v>
      </c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0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15141</v>
      </c>
      <c r="G32" s="41">
        <f>SUM(G22:G31)</f>
        <v>8560.369999999999</v>
      </c>
      <c r="H32" s="41">
        <f>SUM(H22:H31)</f>
        <v>24599.29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0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0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0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0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0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0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0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0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0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0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0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0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0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0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0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0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234246.16</v>
      </c>
      <c r="K48" s="24" t="s">
        <v>286</v>
      </c>
      <c r="L48" s="24" t="s">
        <v>286</v>
      </c>
      <c r="M48" s="8"/>
      <c r="N48" s="270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F19-F32</f>
        <v>115304.78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0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115304.78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234246.16</v>
      </c>
      <c r="K51" s="45" t="s">
        <v>286</v>
      </c>
      <c r="L51" s="45" t="s">
        <v>286</v>
      </c>
      <c r="N51" s="181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130445.78</v>
      </c>
      <c r="G52" s="41">
        <f>G51+G32</f>
        <v>8560.369999999999</v>
      </c>
      <c r="H52" s="41">
        <f>H51+H32</f>
        <v>24599.29</v>
      </c>
      <c r="I52" s="41">
        <f>I51+I32</f>
        <v>0</v>
      </c>
      <c r="J52" s="41">
        <f>J51+J32</f>
        <v>234246.16</v>
      </c>
      <c r="K52" s="45" t="s">
        <v>286</v>
      </c>
      <c r="L52" s="45" t="s">
        <v>286</v>
      </c>
      <c r="M52" s="8"/>
      <c r="N52" s="270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0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0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0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0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1952311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0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65819</v>
      </c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0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1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2018130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1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0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0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0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0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1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0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0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0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0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0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0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0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0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0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0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0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0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181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0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0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0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0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0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0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0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0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0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0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0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0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0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0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0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0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0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345.26</v>
      </c>
      <c r="G96" s="18"/>
      <c r="H96" s="18"/>
      <c r="I96" s="18"/>
      <c r="J96" s="18">
        <v>3224.69</v>
      </c>
      <c r="K96" s="24" t="s">
        <v>286</v>
      </c>
      <c r="L96" s="24" t="s">
        <v>286</v>
      </c>
      <c r="M96" s="8"/>
      <c r="N96" s="270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20762.41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0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0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0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0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0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702.82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0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0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0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0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0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0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0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0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3653.68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0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4701.76</v>
      </c>
      <c r="G111" s="41">
        <f>SUM(G96:G110)</f>
        <v>20762.41</v>
      </c>
      <c r="H111" s="41">
        <f>SUM(H96:H110)</f>
        <v>0</v>
      </c>
      <c r="I111" s="41">
        <f>SUM(I96:I110)</f>
        <v>0</v>
      </c>
      <c r="J111" s="41">
        <f>SUM(J96:J110)</f>
        <v>3224.69</v>
      </c>
      <c r="K111" s="45" t="s">
        <v>286</v>
      </c>
      <c r="L111" s="45" t="s">
        <v>286</v>
      </c>
      <c r="N111" s="181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2022831.76</v>
      </c>
      <c r="G112" s="41">
        <f>G60+G111</f>
        <v>20762.41</v>
      </c>
      <c r="H112" s="41">
        <f>H60+H79+H94+H111</f>
        <v>0</v>
      </c>
      <c r="I112" s="41">
        <f>I60+I111</f>
        <v>0</v>
      </c>
      <c r="J112" s="41">
        <f>J60+J111</f>
        <v>3224.69</v>
      </c>
      <c r="K112" s="45" t="s">
        <v>286</v>
      </c>
      <c r="L112" s="45" t="s">
        <v>286</v>
      </c>
      <c r="M112" s="8"/>
      <c r="N112" s="270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0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0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0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0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0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662572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0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0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0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662572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0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0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0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0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0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0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0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0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0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0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0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601.98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0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0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0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601.98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0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0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0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0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662572</v>
      </c>
      <c r="G140" s="41">
        <f>G121+SUM(G136:G137)</f>
        <v>601.98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0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0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0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0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0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0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0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0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0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0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0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0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>
        <v>39728.19</v>
      </c>
      <c r="I152" s="18"/>
      <c r="J152" s="24" t="s">
        <v>286</v>
      </c>
      <c r="K152" s="24" t="s">
        <v>286</v>
      </c>
      <c r="L152" s="24" t="s">
        <v>286</v>
      </c>
      <c r="M152" s="8"/>
      <c r="N152" s="270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0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14173.73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0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302.36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0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0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0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16864.73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0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0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0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3671</v>
      </c>
      <c r="H161" s="18">
        <v>17887.03</v>
      </c>
      <c r="I161" s="18"/>
      <c r="J161" s="24" t="s">
        <v>286</v>
      </c>
      <c r="K161" s="24" t="s">
        <v>286</v>
      </c>
      <c r="L161" s="24" t="s">
        <v>286</v>
      </c>
      <c r="M161" s="8"/>
      <c r="N161" s="270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20535.73</v>
      </c>
      <c r="H162" s="41">
        <f>SUM(H150:H161)</f>
        <v>72091.31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0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0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0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19061.259999999998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0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0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0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0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19061.259999999998</v>
      </c>
      <c r="G169" s="41">
        <f>G147+G162+SUM(G163:G168)</f>
        <v>20535.73</v>
      </c>
      <c r="H169" s="41">
        <f>H147+H162+SUM(H163:H168)</f>
        <v>72091.31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0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0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0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0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0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0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0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0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0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0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21076.76</v>
      </c>
      <c r="H179" s="18"/>
      <c r="I179" s="18"/>
      <c r="J179" s="18">
        <v>10000</v>
      </c>
      <c r="K179" s="24" t="s">
        <v>286</v>
      </c>
      <c r="L179" s="24" t="s">
        <v>286</v>
      </c>
      <c r="M179" s="8"/>
      <c r="N179" s="270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0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0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0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21076.76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286</v>
      </c>
      <c r="L183" s="45" t="s">
        <v>286</v>
      </c>
      <c r="M183" s="8"/>
      <c r="N183" s="270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0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0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0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181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181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0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0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0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21076.76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286</v>
      </c>
      <c r="L192" s="45" t="s">
        <v>286</v>
      </c>
      <c r="M192" s="8"/>
      <c r="N192" s="270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2704465.0199999996</v>
      </c>
      <c r="G193" s="47">
        <f>G112+G140+G169+G192</f>
        <v>62976.87999999999</v>
      </c>
      <c r="H193" s="47">
        <f>H112+H140+H169+H192</f>
        <v>72091.31</v>
      </c>
      <c r="I193" s="47">
        <f>I112+I140+I169+I192</f>
        <v>0</v>
      </c>
      <c r="J193" s="47">
        <f>J112+J140+J192</f>
        <v>13224.69</v>
      </c>
      <c r="K193" s="45" t="s">
        <v>286</v>
      </c>
      <c r="L193" s="45" t="s">
        <v>286</v>
      </c>
      <c r="M193" s="8"/>
      <c r="N193" s="270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0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0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679700.49</v>
      </c>
      <c r="G197" s="18">
        <v>313762.53999999998</v>
      </c>
      <c r="H197" s="18">
        <v>42216.31</v>
      </c>
      <c r="I197" s="18">
        <v>25395.439999999999</v>
      </c>
      <c r="J197" s="18">
        <v>45947.03</v>
      </c>
      <c r="K197" s="18"/>
      <c r="L197" s="19">
        <f>SUM(F197:K197)</f>
        <v>1107021.81</v>
      </c>
      <c r="M197" s="8"/>
      <c r="N197" s="270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170022.87</v>
      </c>
      <c r="G198" s="18">
        <v>89863.29</v>
      </c>
      <c r="H198" s="18">
        <v>7046.65</v>
      </c>
      <c r="I198" s="18">
        <v>1025.6400000000001</v>
      </c>
      <c r="J198" s="18">
        <v>297.19</v>
      </c>
      <c r="K198" s="18"/>
      <c r="L198" s="19">
        <f>SUM(F198:K198)</f>
        <v>268255.64</v>
      </c>
      <c r="M198" s="8"/>
      <c r="N198" s="270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2035</v>
      </c>
      <c r="G200" s="18">
        <v>480.3</v>
      </c>
      <c r="H200" s="18"/>
      <c r="I200" s="18"/>
      <c r="J200" s="18"/>
      <c r="K200" s="18">
        <v>1602.88</v>
      </c>
      <c r="L200" s="19">
        <f>SUM(F200:K200)</f>
        <v>4118.18</v>
      </c>
      <c r="M200" s="8"/>
      <c r="N200" s="270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0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67436.009999999995</v>
      </c>
      <c r="G202" s="18">
        <v>37945.79</v>
      </c>
      <c r="H202" s="18">
        <v>105019.36</v>
      </c>
      <c r="I202" s="18">
        <v>712.92</v>
      </c>
      <c r="J202" s="18">
        <v>202.19</v>
      </c>
      <c r="K202" s="18"/>
      <c r="L202" s="19">
        <f t="shared" ref="L202:L208" si="0">SUM(F202:K202)</f>
        <v>211316.27</v>
      </c>
      <c r="M202" s="8"/>
      <c r="N202" s="270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68472.460000000006</v>
      </c>
      <c r="G203" s="18">
        <v>15528.27</v>
      </c>
      <c r="H203" s="18"/>
      <c r="I203" s="18">
        <v>4326.8599999999997</v>
      </c>
      <c r="J203" s="18"/>
      <c r="K203" s="18">
        <v>10816.18</v>
      </c>
      <c r="L203" s="19">
        <f t="shared" si="0"/>
        <v>99143.770000000019</v>
      </c>
      <c r="M203" s="8"/>
      <c r="N203" s="270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1475</v>
      </c>
      <c r="G204" s="18">
        <v>146.11000000000001</v>
      </c>
      <c r="H204" s="18">
        <v>189026.65</v>
      </c>
      <c r="I204" s="18"/>
      <c r="J204" s="18"/>
      <c r="K204" s="18">
        <v>4973.8100000000004</v>
      </c>
      <c r="L204" s="19">
        <f t="shared" si="0"/>
        <v>195621.56999999998</v>
      </c>
      <c r="M204" s="8"/>
      <c r="N204" s="270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136134</v>
      </c>
      <c r="G205" s="18">
        <v>73004.820000000007</v>
      </c>
      <c r="H205" s="18">
        <v>14557.18</v>
      </c>
      <c r="I205" s="18">
        <v>8323.44</v>
      </c>
      <c r="J205" s="18">
        <v>940.25</v>
      </c>
      <c r="K205" s="18"/>
      <c r="L205" s="19">
        <f t="shared" si="0"/>
        <v>232959.69</v>
      </c>
      <c r="M205" s="8"/>
      <c r="N205" s="270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62808.98</v>
      </c>
      <c r="G207" s="18">
        <v>11777</v>
      </c>
      <c r="H207" s="18">
        <v>49490.07</v>
      </c>
      <c r="I207" s="18">
        <v>65886.11</v>
      </c>
      <c r="J207" s="18">
        <v>38811.24</v>
      </c>
      <c r="K207" s="18"/>
      <c r="L207" s="19">
        <f t="shared" si="0"/>
        <v>228773.40000000002</v>
      </c>
      <c r="M207" s="8"/>
      <c r="N207" s="270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145054.43</v>
      </c>
      <c r="I208" s="18"/>
      <c r="J208" s="18"/>
      <c r="K208" s="18"/>
      <c r="L208" s="19">
        <f t="shared" si="0"/>
        <v>145054.43</v>
      </c>
      <c r="M208" s="8"/>
      <c r="N208" s="270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0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1188084.81</v>
      </c>
      <c r="G211" s="41">
        <f t="shared" si="1"/>
        <v>542508.11999999988</v>
      </c>
      <c r="H211" s="41">
        <f t="shared" si="1"/>
        <v>552410.64999999991</v>
      </c>
      <c r="I211" s="41">
        <f t="shared" si="1"/>
        <v>105670.41</v>
      </c>
      <c r="J211" s="41">
        <f t="shared" si="1"/>
        <v>86197.9</v>
      </c>
      <c r="K211" s="41">
        <f t="shared" si="1"/>
        <v>17392.870000000003</v>
      </c>
      <c r="L211" s="41">
        <f t="shared" si="1"/>
        <v>2492264.7600000002</v>
      </c>
      <c r="M211" s="8"/>
      <c r="N211" s="270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0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0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0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0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0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0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0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0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0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0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0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1188084.81</v>
      </c>
      <c r="G257" s="41">
        <f t="shared" si="8"/>
        <v>542508.11999999988</v>
      </c>
      <c r="H257" s="41">
        <f t="shared" si="8"/>
        <v>552410.64999999991</v>
      </c>
      <c r="I257" s="41">
        <f t="shared" si="8"/>
        <v>105670.41</v>
      </c>
      <c r="J257" s="41">
        <f t="shared" si="8"/>
        <v>86197.9</v>
      </c>
      <c r="K257" s="41">
        <f t="shared" si="8"/>
        <v>17392.870000000003</v>
      </c>
      <c r="L257" s="41">
        <f t="shared" si="8"/>
        <v>2492264.7600000002</v>
      </c>
      <c r="M257" s="8"/>
      <c r="N257" s="270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0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0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0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181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181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21076.76</v>
      </c>
      <c r="L263" s="19">
        <f>SUM(F263:K263)</f>
        <v>21076.76</v>
      </c>
      <c r="N263" s="181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181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181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10000</v>
      </c>
      <c r="L266" s="19">
        <f t="shared" si="9"/>
        <v>10000</v>
      </c>
      <c r="N266" s="181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181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181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181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31076.76</v>
      </c>
      <c r="L270" s="41">
        <f t="shared" si="9"/>
        <v>31076.76</v>
      </c>
      <c r="N270" s="181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1188084.81</v>
      </c>
      <c r="G271" s="42">
        <f t="shared" si="11"/>
        <v>542508.11999999988</v>
      </c>
      <c r="H271" s="42">
        <f t="shared" si="11"/>
        <v>552410.64999999991</v>
      </c>
      <c r="I271" s="42">
        <f t="shared" si="11"/>
        <v>105670.41</v>
      </c>
      <c r="J271" s="42">
        <f t="shared" si="11"/>
        <v>86197.9</v>
      </c>
      <c r="K271" s="42">
        <f t="shared" si="11"/>
        <v>48469.630000000005</v>
      </c>
      <c r="L271" s="42">
        <f t="shared" si="11"/>
        <v>2523341.52</v>
      </c>
      <c r="M271" s="8"/>
      <c r="N271" s="270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0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0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12581</v>
      </c>
      <c r="G276" s="18"/>
      <c r="H276" s="18"/>
      <c r="I276" s="18"/>
      <c r="J276" s="18"/>
      <c r="K276" s="18">
        <v>3260.93</v>
      </c>
      <c r="L276" s="19">
        <f>SUM(F276:K276)</f>
        <v>15841.93</v>
      </c>
      <c r="M276" s="8"/>
      <c r="N276" s="270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35105.199999999997</v>
      </c>
      <c r="G277" s="18">
        <v>556.54</v>
      </c>
      <c r="H277" s="18"/>
      <c r="I277" s="18"/>
      <c r="J277" s="18"/>
      <c r="K277" s="18">
        <v>4066.45</v>
      </c>
      <c r="L277" s="19">
        <f>SUM(F277:K277)</f>
        <v>39728.189999999995</v>
      </c>
      <c r="M277" s="8"/>
      <c r="N277" s="270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0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>
        <v>734.25</v>
      </c>
      <c r="J282" s="18">
        <v>15786.94</v>
      </c>
      <c r="K282" s="18"/>
      <c r="L282" s="19">
        <f t="shared" si="12"/>
        <v>16521.190000000002</v>
      </c>
      <c r="M282" s="8"/>
      <c r="N282" s="270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0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47686.2</v>
      </c>
      <c r="G290" s="42">
        <f t="shared" si="13"/>
        <v>556.54</v>
      </c>
      <c r="H290" s="42">
        <f t="shared" si="13"/>
        <v>0</v>
      </c>
      <c r="I290" s="42">
        <f t="shared" si="13"/>
        <v>734.25</v>
      </c>
      <c r="J290" s="42">
        <f t="shared" si="13"/>
        <v>15786.94</v>
      </c>
      <c r="K290" s="42">
        <f t="shared" si="13"/>
        <v>7327.3799999999992</v>
      </c>
      <c r="L290" s="41">
        <f t="shared" si="13"/>
        <v>72091.31</v>
      </c>
      <c r="M290" s="8"/>
      <c r="N290" s="270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0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0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0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0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0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0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0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0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0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47686.2</v>
      </c>
      <c r="G338" s="41">
        <f t="shared" si="20"/>
        <v>556.54</v>
      </c>
      <c r="H338" s="41">
        <f t="shared" si="20"/>
        <v>0</v>
      </c>
      <c r="I338" s="41">
        <f t="shared" si="20"/>
        <v>734.25</v>
      </c>
      <c r="J338" s="41">
        <f t="shared" si="20"/>
        <v>15786.94</v>
      </c>
      <c r="K338" s="41">
        <f t="shared" si="20"/>
        <v>7327.3799999999992</v>
      </c>
      <c r="L338" s="41">
        <f t="shared" si="20"/>
        <v>72091.31</v>
      </c>
      <c r="M338" s="8"/>
      <c r="N338" s="270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0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0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0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0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0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0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0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0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0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47686.2</v>
      </c>
      <c r="G352" s="41">
        <f>G338</f>
        <v>556.54</v>
      </c>
      <c r="H352" s="41">
        <f>H338</f>
        <v>0</v>
      </c>
      <c r="I352" s="41">
        <f>I338</f>
        <v>734.25</v>
      </c>
      <c r="J352" s="41">
        <f>J338</f>
        <v>15786.94</v>
      </c>
      <c r="K352" s="47">
        <f>K338+K351</f>
        <v>7327.3799999999992</v>
      </c>
      <c r="L352" s="41">
        <f>L338+L351</f>
        <v>72091.31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0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0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0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59305.88</v>
      </c>
      <c r="I358" s="18"/>
      <c r="J358" s="18">
        <v>3671</v>
      </c>
      <c r="K358" s="18"/>
      <c r="L358" s="13">
        <f>SUM(F358:K358)</f>
        <v>62976.88</v>
      </c>
      <c r="N358" s="181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0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59305.88</v>
      </c>
      <c r="I362" s="47">
        <f t="shared" si="22"/>
        <v>0</v>
      </c>
      <c r="J362" s="47">
        <f t="shared" si="22"/>
        <v>3671</v>
      </c>
      <c r="K362" s="47">
        <f t="shared" si="22"/>
        <v>0</v>
      </c>
      <c r="L362" s="47">
        <f t="shared" si="22"/>
        <v>62976.88</v>
      </c>
      <c r="M362" s="8"/>
      <c r="N362" s="270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0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0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0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0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0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0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0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0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0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0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0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0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0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0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0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v>2248.27</v>
      </c>
      <c r="I392" s="18"/>
      <c r="J392" s="24" t="s">
        <v>286</v>
      </c>
      <c r="K392" s="24" t="s">
        <v>286</v>
      </c>
      <c r="L392" s="56">
        <f t="shared" si="25"/>
        <v>2248.27</v>
      </c>
      <c r="M392" s="8"/>
      <c r="N392" s="270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2248.27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2248.27</v>
      </c>
      <c r="M393" s="8"/>
      <c r="N393" s="270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0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0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10000</v>
      </c>
      <c r="H396" s="18">
        <v>976.42</v>
      </c>
      <c r="I396" s="18"/>
      <c r="J396" s="24" t="s">
        <v>286</v>
      </c>
      <c r="K396" s="24" t="s">
        <v>286</v>
      </c>
      <c r="L396" s="56">
        <f t="shared" si="26"/>
        <v>10976.42</v>
      </c>
      <c r="M396" s="8"/>
      <c r="N396" s="270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0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0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0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0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976.42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10976.42</v>
      </c>
      <c r="M401" s="8"/>
      <c r="N401" s="270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0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0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0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0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0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0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3224.69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13224.69</v>
      </c>
      <c r="M408" s="8"/>
      <c r="N408" s="270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0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0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0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0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0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0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0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168085.41</v>
      </c>
      <c r="G440" s="18">
        <v>66160.75</v>
      </c>
      <c r="H440" s="18"/>
      <c r="I440" s="56">
        <f t="shared" si="33"/>
        <v>234246.16</v>
      </c>
      <c r="J440" s="24" t="s">
        <v>286</v>
      </c>
      <c r="K440" s="24" t="s">
        <v>286</v>
      </c>
      <c r="L440" s="24" t="s">
        <v>286</v>
      </c>
      <c r="M440" s="8"/>
      <c r="N440" s="270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0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0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0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0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0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168085.41</v>
      </c>
      <c r="G446" s="13">
        <f>SUM(G439:G445)</f>
        <v>66160.75</v>
      </c>
      <c r="H446" s="13">
        <f>SUM(H439:H445)</f>
        <v>0</v>
      </c>
      <c r="I446" s="13">
        <f>SUM(I439:I445)</f>
        <v>234246.16</v>
      </c>
      <c r="J446" s="24" t="s">
        <v>286</v>
      </c>
      <c r="K446" s="24" t="s">
        <v>286</v>
      </c>
      <c r="L446" s="24" t="s">
        <v>286</v>
      </c>
      <c r="M446" s="8"/>
      <c r="N446" s="270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0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0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0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0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0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0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0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0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0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168085.41</v>
      </c>
      <c r="G459" s="18">
        <v>66160.75</v>
      </c>
      <c r="H459" s="18"/>
      <c r="I459" s="56">
        <f t="shared" si="34"/>
        <v>234246.16</v>
      </c>
      <c r="J459" s="24" t="s">
        <v>286</v>
      </c>
      <c r="K459" s="24" t="s">
        <v>286</v>
      </c>
      <c r="L459" s="24" t="s">
        <v>286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168085.41</v>
      </c>
      <c r="G460" s="83">
        <f>SUM(G454:G459)</f>
        <v>66160.75</v>
      </c>
      <c r="H460" s="83">
        <f>SUM(H454:H459)</f>
        <v>0</v>
      </c>
      <c r="I460" s="83">
        <f>SUM(I454:I459)</f>
        <v>234246.16</v>
      </c>
      <c r="J460" s="24" t="s">
        <v>286</v>
      </c>
      <c r="K460" s="24" t="s">
        <v>286</v>
      </c>
      <c r="L460" s="24" t="s">
        <v>286</v>
      </c>
      <c r="N460" s="217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168085.41</v>
      </c>
      <c r="G461" s="42">
        <f>G452+G460</f>
        <v>66160.75</v>
      </c>
      <c r="H461" s="42">
        <f>H452+H460</f>
        <v>0</v>
      </c>
      <c r="I461" s="42">
        <f>I452+I460</f>
        <v>234246.16</v>
      </c>
      <c r="J461" s="24" t="s">
        <v>286</v>
      </c>
      <c r="K461" s="24" t="s">
        <v>286</v>
      </c>
      <c r="L461" s="24" t="s">
        <v>286</v>
      </c>
      <c r="N461" s="217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17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-65818.720000000001</v>
      </c>
      <c r="G465" s="18">
        <v>0</v>
      </c>
      <c r="H465" s="18">
        <v>0</v>
      </c>
      <c r="I465" s="18"/>
      <c r="J465" s="18">
        <v>221021.47</v>
      </c>
      <c r="K465" s="24" t="s">
        <v>286</v>
      </c>
      <c r="L465" s="24" t="s">
        <v>286</v>
      </c>
      <c r="N465" s="217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17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17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2704465.02</v>
      </c>
      <c r="G468" s="18">
        <v>62976.88</v>
      </c>
      <c r="H468" s="18">
        <v>72091.31</v>
      </c>
      <c r="I468" s="18"/>
      <c r="J468" s="18">
        <v>13224.69</v>
      </c>
      <c r="K468" s="24" t="s">
        <v>286</v>
      </c>
      <c r="L468" s="24" t="s">
        <v>286</v>
      </c>
      <c r="N468" s="217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17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2704465.02</v>
      </c>
      <c r="G470" s="53">
        <f>SUM(G468:G469)</f>
        <v>62976.88</v>
      </c>
      <c r="H470" s="53">
        <f>SUM(H468:H469)</f>
        <v>72091.31</v>
      </c>
      <c r="I470" s="53">
        <f>SUM(I468:I469)</f>
        <v>0</v>
      </c>
      <c r="J470" s="53">
        <f>SUM(J468:J469)</f>
        <v>13224.69</v>
      </c>
      <c r="K470" s="24" t="s">
        <v>286</v>
      </c>
      <c r="L470" s="24" t="s">
        <v>286</v>
      </c>
      <c r="N470" s="217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17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2523341.52</v>
      </c>
      <c r="G472" s="18">
        <v>62976.88</v>
      </c>
      <c r="H472" s="18">
        <v>72091.31</v>
      </c>
      <c r="I472" s="18"/>
      <c r="J472" s="18">
        <v>0</v>
      </c>
      <c r="K472" s="24" t="s">
        <v>286</v>
      </c>
      <c r="L472" s="24" t="s">
        <v>286</v>
      </c>
      <c r="N472" s="217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17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2523341.52</v>
      </c>
      <c r="G474" s="53">
        <f>SUM(G472:G473)</f>
        <v>62976.88</v>
      </c>
      <c r="H474" s="53">
        <f>SUM(H472:H473)</f>
        <v>72091.31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17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17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115304.7799999998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234246.16</v>
      </c>
      <c r="K476" s="24" t="s">
        <v>286</v>
      </c>
      <c r="L476" s="24" t="s">
        <v>286</v>
      </c>
      <c r="N476" s="217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17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17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17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17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17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17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17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17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17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17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17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17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17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17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17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17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17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17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17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17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17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17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17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17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>
        <v>10500</v>
      </c>
      <c r="G512" s="24" t="s">
        <v>286</v>
      </c>
      <c r="H512" s="18">
        <v>8750</v>
      </c>
      <c r="I512" s="24" t="s">
        <v>286</v>
      </c>
      <c r="J512" s="24" t="s">
        <v>286</v>
      </c>
      <c r="K512" s="24" t="s">
        <v>286</v>
      </c>
      <c r="L512" s="24" t="s">
        <v>286</v>
      </c>
      <c r="N512" s="217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>
        <v>1658434.5</v>
      </c>
      <c r="G513" s="24" t="s">
        <v>286</v>
      </c>
      <c r="H513" s="18">
        <v>1588013.82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17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>
        <v>28474.61</v>
      </c>
      <c r="G514" s="24" t="s">
        <v>286</v>
      </c>
      <c r="H514" s="18">
        <v>44899.41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17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17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17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1697409.11</v>
      </c>
      <c r="G517" s="42">
        <f>SUM(G511:G516)</f>
        <v>0</v>
      </c>
      <c r="H517" s="42">
        <f>SUM(H511:H516)</f>
        <v>1641663.23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17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17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17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205128.07</v>
      </c>
      <c r="G521" s="18">
        <v>90419.83</v>
      </c>
      <c r="H521" s="18">
        <v>7046.65</v>
      </c>
      <c r="I521" s="18">
        <v>1025.6400000000001</v>
      </c>
      <c r="J521" s="18">
        <v>297.19</v>
      </c>
      <c r="K521" s="18">
        <v>4368.8100000000004</v>
      </c>
      <c r="L521" s="88">
        <f>SUM(F521:K521)</f>
        <v>308286.19000000006</v>
      </c>
      <c r="N521" s="217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17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205128.07</v>
      </c>
      <c r="G524" s="108">
        <f t="shared" ref="G524:L524" si="36">SUM(G521:G523)</f>
        <v>90419.83</v>
      </c>
      <c r="H524" s="108">
        <f t="shared" si="36"/>
        <v>7046.65</v>
      </c>
      <c r="I524" s="108">
        <f t="shared" si="36"/>
        <v>1025.6400000000001</v>
      </c>
      <c r="J524" s="108">
        <f t="shared" si="36"/>
        <v>297.19</v>
      </c>
      <c r="K524" s="108">
        <f t="shared" si="36"/>
        <v>4368.8100000000004</v>
      </c>
      <c r="L524" s="89">
        <f t="shared" si="36"/>
        <v>308286.19000000006</v>
      </c>
      <c r="N524" s="217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17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104717.11</v>
      </c>
      <c r="I526" s="18"/>
      <c r="J526" s="18"/>
      <c r="K526" s="18"/>
      <c r="L526" s="88">
        <f>SUM(F526:K526)</f>
        <v>104717.11</v>
      </c>
      <c r="M526" s="8"/>
      <c r="N526" s="270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104717.11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104717.11</v>
      </c>
      <c r="M529" s="8"/>
      <c r="N529" s="270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0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0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0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0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0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205128.07</v>
      </c>
      <c r="G545" s="89">
        <f t="shared" ref="G545:L545" si="41">G524+G529+G534+G539+G544</f>
        <v>90419.83</v>
      </c>
      <c r="H545" s="89">
        <f t="shared" si="41"/>
        <v>111763.76</v>
      </c>
      <c r="I545" s="89">
        <f t="shared" si="41"/>
        <v>1025.6400000000001</v>
      </c>
      <c r="J545" s="89">
        <f t="shared" si="41"/>
        <v>297.19</v>
      </c>
      <c r="K545" s="89">
        <f t="shared" si="41"/>
        <v>4368.8100000000004</v>
      </c>
      <c r="L545" s="89">
        <f t="shared" si="41"/>
        <v>413003.30000000005</v>
      </c>
      <c r="M545" s="8"/>
      <c r="N545" s="270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0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0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308286.19000000006</v>
      </c>
      <c r="G549" s="87">
        <f>L526</f>
        <v>104717.11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413003.30000000005</v>
      </c>
      <c r="L549" s="24" t="s">
        <v>286</v>
      </c>
      <c r="M549" s="8"/>
      <c r="N549" s="270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0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0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308286.19000000006</v>
      </c>
      <c r="G552" s="89">
        <f t="shared" si="42"/>
        <v>104717.11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413003.30000000005</v>
      </c>
      <c r="L552" s="24"/>
      <c r="M552" s="8"/>
      <c r="N552" s="270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0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0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0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0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>
        <v>33.99</v>
      </c>
      <c r="J567" s="18">
        <v>297.19</v>
      </c>
      <c r="K567" s="18"/>
      <c r="L567" s="88">
        <f>SUM(F567:K567)</f>
        <v>331.18</v>
      </c>
      <c r="M567" s="8"/>
      <c r="N567" s="270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33.99</v>
      </c>
      <c r="J570" s="193">
        <f t="shared" si="45"/>
        <v>297.19</v>
      </c>
      <c r="K570" s="193">
        <f t="shared" si="45"/>
        <v>0</v>
      </c>
      <c r="L570" s="193">
        <f t="shared" si="45"/>
        <v>331.18</v>
      </c>
      <c r="M570" s="8"/>
      <c r="N570" s="270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33.99</v>
      </c>
      <c r="J571" s="89">
        <f t="shared" si="46"/>
        <v>297.19</v>
      </c>
      <c r="K571" s="89">
        <f t="shared" si="46"/>
        <v>0</v>
      </c>
      <c r="L571" s="89">
        <f t="shared" si="46"/>
        <v>331.18</v>
      </c>
      <c r="M571" s="8"/>
      <c r="N571" s="270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0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0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0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0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0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0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0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0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110.4</v>
      </c>
      <c r="G582" s="18"/>
      <c r="H582" s="18"/>
      <c r="I582" s="87">
        <f t="shared" si="47"/>
        <v>110.4</v>
      </c>
      <c r="J582" s="24" t="s">
        <v>286</v>
      </c>
      <c r="K582" s="24" t="s">
        <v>286</v>
      </c>
      <c r="L582" s="24" t="s">
        <v>286</v>
      </c>
      <c r="M582" s="8"/>
      <c r="N582" s="270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0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0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0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0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0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139597.43</v>
      </c>
      <c r="I591" s="18"/>
      <c r="J591" s="18"/>
      <c r="K591" s="104">
        <f t="shared" ref="K591:K597" si="48">SUM(H591:J591)</f>
        <v>139597.43</v>
      </c>
      <c r="L591" s="24" t="s">
        <v>286</v>
      </c>
      <c r="M591" s="8"/>
      <c r="N591" s="270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0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0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0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5457</v>
      </c>
      <c r="I595" s="18"/>
      <c r="J595" s="18"/>
      <c r="K595" s="104">
        <f t="shared" si="48"/>
        <v>5457</v>
      </c>
      <c r="L595" s="24" t="s">
        <v>286</v>
      </c>
      <c r="M595" s="8"/>
      <c r="N595" s="270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0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0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145054.43</v>
      </c>
      <c r="I598" s="108">
        <f>SUM(I591:I597)</f>
        <v>0</v>
      </c>
      <c r="J598" s="108">
        <f>SUM(J591:J597)</f>
        <v>0</v>
      </c>
      <c r="K598" s="108">
        <f>SUM(K591:K597)</f>
        <v>145054.43</v>
      </c>
      <c r="L598" s="24" t="s">
        <v>286</v>
      </c>
      <c r="M598" s="8"/>
      <c r="N598" s="270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0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0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101984.84</v>
      </c>
      <c r="I604" s="18"/>
      <c r="J604" s="18"/>
      <c r="K604" s="104">
        <f>SUM(H604:J604)</f>
        <v>101984.84</v>
      </c>
      <c r="L604" s="24" t="s">
        <v>286</v>
      </c>
      <c r="M604" s="8"/>
      <c r="N604" s="270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101984.84</v>
      </c>
      <c r="I605" s="108">
        <f>SUM(I602:I604)</f>
        <v>0</v>
      </c>
      <c r="J605" s="108">
        <f>SUM(J602:J604)</f>
        <v>0</v>
      </c>
      <c r="K605" s="108">
        <f>SUM(K602:K604)</f>
        <v>101984.84</v>
      </c>
      <c r="L605" s="24" t="s">
        <v>286</v>
      </c>
      <c r="M605" s="8"/>
      <c r="N605" s="270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0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8985</v>
      </c>
      <c r="G611" s="18">
        <v>733.43</v>
      </c>
      <c r="H611" s="18"/>
      <c r="I611" s="18"/>
      <c r="J611" s="18"/>
      <c r="K611" s="18"/>
      <c r="L611" s="88">
        <f>SUM(F611:K611)</f>
        <v>9718.43</v>
      </c>
      <c r="M611" s="8"/>
      <c r="N611" s="270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8985</v>
      </c>
      <c r="G614" s="108">
        <f t="shared" si="49"/>
        <v>733.43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9718.43</v>
      </c>
      <c r="M614" s="8"/>
      <c r="N614" s="270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130445.78</v>
      </c>
      <c r="H617" s="109">
        <f>SUM(F52)</f>
        <v>130445.78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8560.3700000000008</v>
      </c>
      <c r="H618" s="109">
        <f>SUM(G52)</f>
        <v>8560.369999999999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24599.29</v>
      </c>
      <c r="H619" s="109">
        <f>SUM(H52)</f>
        <v>24599.29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234246.16</v>
      </c>
      <c r="H621" s="109">
        <f>SUM(J52)</f>
        <v>234246.16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115304.78</v>
      </c>
      <c r="H622" s="109">
        <f>F476</f>
        <v>115304.7799999998</v>
      </c>
      <c r="I622" s="121" t="s">
        <v>101</v>
      </c>
      <c r="J622" s="109">
        <f t="shared" ref="J622:J655" si="50">G622-H622</f>
        <v>2.0372681319713593E-10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234246.16</v>
      </c>
      <c r="H626" s="109">
        <f>J476</f>
        <v>234246.16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2704465.0199999996</v>
      </c>
      <c r="H627" s="104">
        <f>SUM(F468)</f>
        <v>2704465.02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62976.87999999999</v>
      </c>
      <c r="H628" s="104">
        <f>SUM(G468)</f>
        <v>62976.88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72091.31</v>
      </c>
      <c r="H629" s="104">
        <f>SUM(H468)</f>
        <v>72091.31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13224.69</v>
      </c>
      <c r="H631" s="104">
        <f>SUM(J468)</f>
        <v>13224.69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2523341.52</v>
      </c>
      <c r="H632" s="104">
        <f>SUM(F472)</f>
        <v>2523341.52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72091.31</v>
      </c>
      <c r="H633" s="104">
        <f>SUM(H472)</f>
        <v>72091.31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62976.88</v>
      </c>
      <c r="H635" s="104">
        <f>SUM(G472)</f>
        <v>62976.88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13224.69</v>
      </c>
      <c r="H637" s="164">
        <f>SUM(J468)</f>
        <v>13224.69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168085.41</v>
      </c>
      <c r="H639" s="104">
        <f>SUM(F461)</f>
        <v>168085.41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66160.75</v>
      </c>
      <c r="H640" s="104">
        <f>SUM(G461)</f>
        <v>66160.75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234246.16</v>
      </c>
      <c r="H642" s="104">
        <f>SUM(I461)</f>
        <v>234246.16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3224.69</v>
      </c>
      <c r="H644" s="104">
        <f>H408</f>
        <v>3224.69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10000</v>
      </c>
      <c r="H645" s="104">
        <f>G408</f>
        <v>10000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13224.69</v>
      </c>
      <c r="H646" s="104">
        <f>L408</f>
        <v>13224.69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145054.43</v>
      </c>
      <c r="H647" s="104">
        <f>L208+L226+L244</f>
        <v>145054.43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101984.84</v>
      </c>
      <c r="H648" s="104">
        <f>(J257+J338)-(J255+J336)</f>
        <v>101984.84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145054.43</v>
      </c>
      <c r="H649" s="104">
        <f>H598</f>
        <v>145054.43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21076.76</v>
      </c>
      <c r="H652" s="104">
        <f>K263+K345</f>
        <v>21076.76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10000</v>
      </c>
      <c r="H655" s="104">
        <f>K266+K347</f>
        <v>10000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2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2627332.9500000002</v>
      </c>
      <c r="G660" s="19">
        <f>(L229+L309+L359)</f>
        <v>0</v>
      </c>
      <c r="H660" s="19">
        <f>(L247+L328+L360)</f>
        <v>0</v>
      </c>
      <c r="I660" s="19">
        <f>SUM(F660:H660)</f>
        <v>2627332.9500000002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20762.41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20762.41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145054.43</v>
      </c>
      <c r="G662" s="19">
        <f>(L226+L306)-(J226+J306)</f>
        <v>0</v>
      </c>
      <c r="H662" s="19">
        <f>(L244+L325)-(J244+J325)</f>
        <v>0</v>
      </c>
      <c r="I662" s="19">
        <f>SUM(F662:H662)</f>
        <v>145054.43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111813.66999999998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111813.66999999998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2349702.4400000004</v>
      </c>
      <c r="G664" s="19">
        <f>G660-SUM(G661:G663)</f>
        <v>0</v>
      </c>
      <c r="H664" s="19">
        <f>H660-SUM(H661:H663)</f>
        <v>0</v>
      </c>
      <c r="I664" s="19">
        <f>I660-SUM(I661:I663)</f>
        <v>2349702.4400000004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125.13</v>
      </c>
      <c r="G665" s="248">
        <v>0</v>
      </c>
      <c r="H665" s="248">
        <v>0</v>
      </c>
      <c r="I665" s="19">
        <f>SUM(F665:H665)</f>
        <v>125.13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18778.09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18778.09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18778.09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18778.09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1496062992126" right="0.31496062992126" top="0.43307086614173201" bottom="0.55118110236220497" header="0.31496062992126" footer="0.31496062992126"/>
  <pageSetup scale="69" fitToHeight="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LAFAYETTE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7" t="s">
        <v>778</v>
      </c>
      <c r="B3" s="277"/>
      <c r="C3" s="277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777</v>
      </c>
      <c r="C6" s="276"/>
    </row>
    <row r="7" spans="1:3" x14ac:dyDescent="0.2">
      <c r="A7" s="239" t="s">
        <v>780</v>
      </c>
      <c r="B7" s="274" t="s">
        <v>776</v>
      </c>
      <c r="C7" s="275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692281.49</v>
      </c>
      <c r="C9" s="229">
        <f>'DOE25'!G197+'DOE25'!G215+'DOE25'!G233+'DOE25'!G276+'DOE25'!G295+'DOE25'!G314</f>
        <v>313762.53999999998</v>
      </c>
    </row>
    <row r="10" spans="1:3" x14ac:dyDescent="0.2">
      <c r="A10" t="s">
        <v>773</v>
      </c>
      <c r="B10" s="240">
        <v>665234.49</v>
      </c>
      <c r="C10" s="240">
        <v>306526.46000000002</v>
      </c>
    </row>
    <row r="11" spans="1:3" x14ac:dyDescent="0.2">
      <c r="A11" t="s">
        <v>774</v>
      </c>
      <c r="B11" s="240">
        <v>15117</v>
      </c>
      <c r="C11" s="240">
        <v>2876.79</v>
      </c>
    </row>
    <row r="12" spans="1:3" x14ac:dyDescent="0.2">
      <c r="A12" t="s">
        <v>775</v>
      </c>
      <c r="B12" s="240">
        <v>11930</v>
      </c>
      <c r="C12" s="240">
        <v>4359.29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692281.49</v>
      </c>
      <c r="C13" s="231">
        <f>SUM(C10:C12)</f>
        <v>313762.53999999998</v>
      </c>
    </row>
    <row r="14" spans="1:3" x14ac:dyDescent="0.2">
      <c r="B14" s="230"/>
      <c r="C14" s="230"/>
    </row>
    <row r="15" spans="1:3" x14ac:dyDescent="0.2">
      <c r="B15" s="276" t="s">
        <v>777</v>
      </c>
      <c r="C15" s="276"/>
    </row>
    <row r="16" spans="1:3" x14ac:dyDescent="0.2">
      <c r="A16" s="239" t="s">
        <v>781</v>
      </c>
      <c r="B16" s="274" t="s">
        <v>701</v>
      </c>
      <c r="C16" s="275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205128.07</v>
      </c>
      <c r="C18" s="229">
        <f>'DOE25'!G198+'DOE25'!G216+'DOE25'!G234+'DOE25'!G277+'DOE25'!G296+'DOE25'!G315</f>
        <v>90419.829999999987</v>
      </c>
    </row>
    <row r="19" spans="1:3" x14ac:dyDescent="0.2">
      <c r="A19" t="s">
        <v>773</v>
      </c>
      <c r="B19" s="240">
        <v>136615.04999999999</v>
      </c>
      <c r="C19" s="273">
        <v>38215.699999999997</v>
      </c>
    </row>
    <row r="20" spans="1:3" x14ac:dyDescent="0.2">
      <c r="A20" t="s">
        <v>774</v>
      </c>
      <c r="B20" s="240">
        <v>68513.02</v>
      </c>
      <c r="C20" s="240">
        <v>52204.13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205128.07</v>
      </c>
      <c r="C22" s="231">
        <f>SUM(C19:C21)</f>
        <v>90419.829999999987</v>
      </c>
    </row>
    <row r="23" spans="1:3" x14ac:dyDescent="0.2">
      <c r="B23" s="230"/>
      <c r="C23" s="230"/>
    </row>
    <row r="24" spans="1:3" x14ac:dyDescent="0.2">
      <c r="B24" s="276" t="s">
        <v>777</v>
      </c>
      <c r="C24" s="276"/>
    </row>
    <row r="25" spans="1:3" x14ac:dyDescent="0.2">
      <c r="A25" s="239" t="s">
        <v>782</v>
      </c>
      <c r="B25" s="274" t="s">
        <v>702</v>
      </c>
      <c r="C25" s="275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777</v>
      </c>
      <c r="C33" s="276"/>
    </row>
    <row r="34" spans="1:3" x14ac:dyDescent="0.2">
      <c r="A34" s="239" t="s">
        <v>783</v>
      </c>
      <c r="B34" s="274" t="s">
        <v>703</v>
      </c>
      <c r="C34" s="275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2035</v>
      </c>
      <c r="C36" s="235">
        <f>'DOE25'!G200+'DOE25'!G218+'DOE25'!G236+'DOE25'!G279+'DOE25'!G298+'DOE25'!G317</f>
        <v>480.3</v>
      </c>
    </row>
    <row r="37" spans="1:3" x14ac:dyDescent="0.2">
      <c r="A37" t="s">
        <v>773</v>
      </c>
      <c r="B37" s="240">
        <v>2035</v>
      </c>
      <c r="C37" s="240">
        <v>480.3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2035</v>
      </c>
      <c r="C40" s="231">
        <f>SUM(C37:C39)</f>
        <v>480.3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784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711</v>
      </c>
      <c r="B2" s="265" t="str">
        <f>'DOE25'!A2</f>
        <v>LAFAYETTE REGIONAL SCHOOL DISTRICT</v>
      </c>
      <c r="C2" s="181"/>
      <c r="D2" s="181" t="s">
        <v>786</v>
      </c>
      <c r="E2" s="181" t="s">
        <v>788</v>
      </c>
      <c r="F2" s="278" t="s">
        <v>815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1379395.6300000001</v>
      </c>
      <c r="D5" s="20">
        <f>SUM('DOE25'!L197:L200)+SUM('DOE25'!L215:L218)+SUM('DOE25'!L233:L236)-F5-G5</f>
        <v>1331548.5300000003</v>
      </c>
      <c r="E5" s="243"/>
      <c r="F5" s="255">
        <f>SUM('DOE25'!J197:J200)+SUM('DOE25'!J215:J218)+SUM('DOE25'!J233:J236)</f>
        <v>46244.22</v>
      </c>
      <c r="G5" s="53">
        <f>SUM('DOE25'!K197:K200)+SUM('DOE25'!K215:K218)+SUM('DOE25'!K233:K236)</f>
        <v>1602.88</v>
      </c>
      <c r="H5" s="259"/>
    </row>
    <row r="6" spans="1:9" x14ac:dyDescent="0.2">
      <c r="A6" s="32">
        <v>2100</v>
      </c>
      <c r="B6" t="s">
        <v>795</v>
      </c>
      <c r="C6" s="245">
        <f t="shared" si="0"/>
        <v>211316.27</v>
      </c>
      <c r="D6" s="20">
        <f>'DOE25'!L202+'DOE25'!L220+'DOE25'!L238-F6-G6</f>
        <v>211114.08</v>
      </c>
      <c r="E6" s="243"/>
      <c r="F6" s="255">
        <f>'DOE25'!J202+'DOE25'!J220+'DOE25'!J238</f>
        <v>202.19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99143.770000000019</v>
      </c>
      <c r="D7" s="20">
        <f>'DOE25'!L203+'DOE25'!L221+'DOE25'!L239-F7-G7</f>
        <v>88327.590000000026</v>
      </c>
      <c r="E7" s="243"/>
      <c r="F7" s="255">
        <f>'DOE25'!J203+'DOE25'!J221+'DOE25'!J239</f>
        <v>0</v>
      </c>
      <c r="G7" s="53">
        <f>'DOE25'!K203+'DOE25'!K221+'DOE25'!K239</f>
        <v>10816.18</v>
      </c>
      <c r="H7" s="259"/>
    </row>
    <row r="8" spans="1:9" x14ac:dyDescent="0.2">
      <c r="A8" s="32">
        <v>2300</v>
      </c>
      <c r="B8" t="s">
        <v>796</v>
      </c>
      <c r="C8" s="245">
        <f t="shared" si="0"/>
        <v>115536.11999999997</v>
      </c>
      <c r="D8" s="243"/>
      <c r="E8" s="20">
        <f>'DOE25'!L204+'DOE25'!L222+'DOE25'!L240-F8-G8-D9-D11</f>
        <v>110562.30999999997</v>
      </c>
      <c r="F8" s="255">
        <f>'DOE25'!J204+'DOE25'!J222+'DOE25'!J240</f>
        <v>0</v>
      </c>
      <c r="G8" s="53">
        <f>'DOE25'!K204+'DOE25'!K222+'DOE25'!K240</f>
        <v>4973.8100000000004</v>
      </c>
      <c r="H8" s="259"/>
    </row>
    <row r="9" spans="1:9" x14ac:dyDescent="0.2">
      <c r="A9" s="32">
        <v>2310</v>
      </c>
      <c r="B9" t="s">
        <v>812</v>
      </c>
      <c r="C9" s="245">
        <f t="shared" si="0"/>
        <v>27301.57</v>
      </c>
      <c r="D9" s="244">
        <v>27301.57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7501</v>
      </c>
      <c r="D10" s="243"/>
      <c r="E10" s="244">
        <v>7501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52783.88</v>
      </c>
      <c r="D11" s="244">
        <v>52783.88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232959.69</v>
      </c>
      <c r="D12" s="20">
        <f>'DOE25'!L205+'DOE25'!L223+'DOE25'!L241-F12-G12</f>
        <v>232019.44</v>
      </c>
      <c r="E12" s="243"/>
      <c r="F12" s="255">
        <f>'DOE25'!J205+'DOE25'!J223+'DOE25'!J241</f>
        <v>940.25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228773.40000000002</v>
      </c>
      <c r="D14" s="20">
        <f>'DOE25'!L207+'DOE25'!L225+'DOE25'!L243-F14-G14</f>
        <v>189962.16000000003</v>
      </c>
      <c r="E14" s="243"/>
      <c r="F14" s="255">
        <f>'DOE25'!J207+'DOE25'!J225+'DOE25'!J243</f>
        <v>38811.24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145054.43</v>
      </c>
      <c r="D15" s="20">
        <f>'DOE25'!L208+'DOE25'!L226+'DOE25'!L244-F15-G15</f>
        <v>145054.43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62976.88</v>
      </c>
      <c r="D29" s="20">
        <f>'DOE25'!L358+'DOE25'!L359+'DOE25'!L360-'DOE25'!I367-F29-G29</f>
        <v>59305.88</v>
      </c>
      <c r="E29" s="243"/>
      <c r="F29" s="255">
        <f>'DOE25'!J358+'DOE25'!J359+'DOE25'!J360</f>
        <v>3671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72091.31</v>
      </c>
      <c r="D31" s="20">
        <f>'DOE25'!L290+'DOE25'!L309+'DOE25'!L328+'DOE25'!L333+'DOE25'!L334+'DOE25'!L335-F31-G31</f>
        <v>48976.99</v>
      </c>
      <c r="E31" s="243"/>
      <c r="F31" s="255">
        <f>'DOE25'!J290+'DOE25'!J309+'DOE25'!J328+'DOE25'!J333+'DOE25'!J334+'DOE25'!J335</f>
        <v>15786.94</v>
      </c>
      <c r="G31" s="53">
        <f>'DOE25'!K290+'DOE25'!K309+'DOE25'!K328+'DOE25'!K333+'DOE25'!K334+'DOE25'!K335</f>
        <v>7327.3799999999992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2386394.5500000007</v>
      </c>
      <c r="E33" s="246">
        <f>SUM(E5:E31)</f>
        <v>118063.30999999997</v>
      </c>
      <c r="F33" s="246">
        <f>SUM(F5:F31)</f>
        <v>105655.84</v>
      </c>
      <c r="G33" s="246">
        <f>SUM(G5:G31)</f>
        <v>24720.25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118063.30999999997</v>
      </c>
      <c r="E35" s="249"/>
    </row>
    <row r="36" spans="2:8" ht="12" thickTop="1" x14ac:dyDescent="0.2">
      <c r="B36" t="s">
        <v>809</v>
      </c>
      <c r="D36" s="20">
        <f>D33</f>
        <v>2386394.5500000007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48" activePane="bottomLeft" state="frozen"/>
      <selection activeCell="F46" sqref="F46"/>
      <selection pane="bottomLeft" activeCell="C74" sqref="C7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LAFAYETTE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108638.55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234246.16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21750.23</v>
      </c>
      <c r="D11" s="95">
        <f>'DOE25'!G12</f>
        <v>5113.1400000000003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3447.23</v>
      </c>
      <c r="E12" s="95">
        <f>'DOE25'!H13</f>
        <v>24599.29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130445.78</v>
      </c>
      <c r="D18" s="41">
        <f>SUM(D8:D17)</f>
        <v>8560.3700000000008</v>
      </c>
      <c r="E18" s="41">
        <f>SUM(E8:E17)</f>
        <v>24599.29</v>
      </c>
      <c r="F18" s="41">
        <f>SUM(F8:F17)</f>
        <v>0</v>
      </c>
      <c r="G18" s="41">
        <f>SUM(G8:G17)</f>
        <v>234246.16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5113.1399999999994</v>
      </c>
      <c r="D21" s="95">
        <f>'DOE25'!G22</f>
        <v>0</v>
      </c>
      <c r="E21" s="95">
        <f>'DOE25'!H22</f>
        <v>21750.23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6773.67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3254.1900000000005</v>
      </c>
      <c r="D23" s="95">
        <f>'DOE25'!G24</f>
        <v>0</v>
      </c>
      <c r="E23" s="95">
        <f>'DOE25'!H24</f>
        <v>2849.06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6239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2321.37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15141</v>
      </c>
      <c r="D31" s="41">
        <f>SUM(D21:D30)</f>
        <v>8560.369999999999</v>
      </c>
      <c r="E31" s="41">
        <f>SUM(E21:E30)</f>
        <v>24599.29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234246.16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115304.78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115304.78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234246.16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130445.78</v>
      </c>
      <c r="D51" s="41">
        <f>D50+D31</f>
        <v>8560.369999999999</v>
      </c>
      <c r="E51" s="41">
        <f>E50+E31</f>
        <v>24599.29</v>
      </c>
      <c r="F51" s="41">
        <f>F50+F31</f>
        <v>0</v>
      </c>
      <c r="G51" s="41">
        <f>G50+G31</f>
        <v>234246.16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2018130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345.26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3224.69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20762.41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4356.5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4701.76</v>
      </c>
      <c r="D62" s="130">
        <f>SUM(D57:D61)</f>
        <v>20762.41</v>
      </c>
      <c r="E62" s="130">
        <f>SUM(E57:E61)</f>
        <v>0</v>
      </c>
      <c r="F62" s="130">
        <f>SUM(F57:F61)</f>
        <v>0</v>
      </c>
      <c r="G62" s="130">
        <f>SUM(G57:G61)</f>
        <v>3224.69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2022831.76</v>
      </c>
      <c r="D63" s="22">
        <f>D56+D62</f>
        <v>20762.41</v>
      </c>
      <c r="E63" s="22">
        <f>E56+E62</f>
        <v>0</v>
      </c>
      <c r="F63" s="22">
        <f>F56+F62</f>
        <v>0</v>
      </c>
      <c r="G63" s="22">
        <f>G56+G62</f>
        <v>3224.69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662572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662572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601.98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601.98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662572</v>
      </c>
      <c r="D81" s="130">
        <f>SUM(D79:D80)+D78+D70</f>
        <v>601.98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39728.19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20535.73</v>
      </c>
      <c r="E88" s="95">
        <f>SUM('DOE25'!H153:H161)</f>
        <v>32363.119999999999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19061.259999999998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19061.259999999998</v>
      </c>
      <c r="D91" s="131">
        <f>SUM(D85:D90)</f>
        <v>20535.73</v>
      </c>
      <c r="E91" s="131">
        <f>SUM(E85:E90)</f>
        <v>72091.31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21076.76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21076.76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759</v>
      </c>
      <c r="C104" s="86">
        <f>C63+C81+C91+C103</f>
        <v>2704465.0199999996</v>
      </c>
      <c r="D104" s="86">
        <f>D63+D81+D91+D103</f>
        <v>62976.87999999999</v>
      </c>
      <c r="E104" s="86">
        <f>E63+E81+E91+E103</f>
        <v>72091.31</v>
      </c>
      <c r="F104" s="86">
        <f>F63+F81+F91+F103</f>
        <v>0</v>
      </c>
      <c r="G104" s="86">
        <f>G63+G81+G103</f>
        <v>13224.69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1107021.81</v>
      </c>
      <c r="D109" s="24" t="s">
        <v>286</v>
      </c>
      <c r="E109" s="95">
        <f>('DOE25'!L276)+('DOE25'!L295)+('DOE25'!L314)</f>
        <v>15841.93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268255.64</v>
      </c>
      <c r="D110" s="24" t="s">
        <v>286</v>
      </c>
      <c r="E110" s="95">
        <f>('DOE25'!L277)+('DOE25'!L296)+('DOE25'!L315)</f>
        <v>39728.189999999995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4118.18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1379395.6300000001</v>
      </c>
      <c r="D115" s="86">
        <f>SUM(D109:D114)</f>
        <v>0</v>
      </c>
      <c r="E115" s="86">
        <f>SUM(E109:E114)</f>
        <v>55570.119999999995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211316.27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99143.770000000019</v>
      </c>
      <c r="D119" s="24" t="s">
        <v>286</v>
      </c>
      <c r="E119" s="95">
        <f>+('DOE25'!L282)+('DOE25'!L301)+('DOE25'!L320)</f>
        <v>16521.190000000002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195621.56999999998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232959.69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228773.40000000002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145054.43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62976.88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1112869.1300000001</v>
      </c>
      <c r="D128" s="86">
        <f>SUM(D118:D127)</f>
        <v>62976.88</v>
      </c>
      <c r="E128" s="86">
        <f>SUM(E118:E127)</f>
        <v>16521.190000000002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21076.76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2248.27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10976.42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-3224.6900000000005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31076.759999999995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2523341.52</v>
      </c>
      <c r="D145" s="86">
        <f>(D115+D128+D144)</f>
        <v>62976.88</v>
      </c>
      <c r="E145" s="86">
        <f>(E115+E128+E144)</f>
        <v>72091.31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9" workbookViewId="0">
      <selection activeCell="C10" sqref="C1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734</v>
      </c>
      <c r="B1" s="282"/>
      <c r="C1" s="282"/>
      <c r="D1" s="282"/>
    </row>
    <row r="2" spans="1:4" x14ac:dyDescent="0.2">
      <c r="A2" s="187" t="s">
        <v>711</v>
      </c>
      <c r="B2" s="186" t="str">
        <f>'DOE25'!A2</f>
        <v>LAFAYETTE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18778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18778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1122864</v>
      </c>
      <c r="D10" s="182">
        <f>ROUND((C10/$C$28)*100,1)</f>
        <v>43.1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307984</v>
      </c>
      <c r="D11" s="182">
        <f>ROUND((C11/$C$28)*100,1)</f>
        <v>11.8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4118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211316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115665</v>
      </c>
      <c r="D16" s="182">
        <f t="shared" si="0"/>
        <v>4.4000000000000004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195622</v>
      </c>
      <c r="D17" s="182">
        <f t="shared" si="0"/>
        <v>7.5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232960</v>
      </c>
      <c r="D18" s="182">
        <f t="shared" si="0"/>
        <v>8.9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228773</v>
      </c>
      <c r="D20" s="182">
        <f t="shared" si="0"/>
        <v>8.8000000000000007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145054</v>
      </c>
      <c r="D21" s="182">
        <f t="shared" si="0"/>
        <v>5.6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42214.59</v>
      </c>
      <c r="D27" s="182">
        <f t="shared" si="0"/>
        <v>1.6</v>
      </c>
    </row>
    <row r="28" spans="1:4" x14ac:dyDescent="0.2">
      <c r="B28" s="187" t="s">
        <v>717</v>
      </c>
      <c r="C28" s="180">
        <f>SUM(C10:C27)</f>
        <v>2606570.59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2606570.59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2018130</v>
      </c>
      <c r="D35" s="182">
        <f t="shared" ref="D35:D40" si="1">ROUND((C35/$C$41)*100,1)</f>
        <v>72.099999999999994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7926.4499999999534</v>
      </c>
      <c r="D36" s="182">
        <f t="shared" si="1"/>
        <v>0.3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662572</v>
      </c>
      <c r="D37" s="182">
        <f t="shared" si="1"/>
        <v>23.7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602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111688</v>
      </c>
      <c r="D39" s="182">
        <f t="shared" si="1"/>
        <v>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2800918.45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764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5" t="s">
        <v>761</v>
      </c>
      <c r="B2" s="296"/>
      <c r="C2" s="296"/>
      <c r="D2" s="296"/>
      <c r="E2" s="296"/>
      <c r="F2" s="291" t="str">
        <f>'DOE25'!A2</f>
        <v>LAFAYETTE REGIONAL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89" t="s">
        <v>765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842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970A" sheet="1" objects="1" scenarios="1"/>
  <mergeCells count="223"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AP31:AZ31"/>
    <mergeCell ref="AP32:AZ32"/>
    <mergeCell ref="P30:Z30"/>
    <mergeCell ref="AC30:AM30"/>
    <mergeCell ref="AP30:AZ30"/>
    <mergeCell ref="C20:M20"/>
    <mergeCell ref="DC29:DM29"/>
    <mergeCell ref="BC29:BM29"/>
    <mergeCell ref="BP29:BZ29"/>
    <mergeCell ref="CC29:CM29"/>
    <mergeCell ref="AP29:AZ29"/>
    <mergeCell ref="CC30:CM30"/>
    <mergeCell ref="BC30:BM30"/>
    <mergeCell ref="BP30:BZ30"/>
    <mergeCell ref="DC30:DM30"/>
    <mergeCell ref="C21:M21"/>
    <mergeCell ref="C22:M22"/>
    <mergeCell ref="C23:M23"/>
    <mergeCell ref="C24:M24"/>
    <mergeCell ref="C29:M29"/>
    <mergeCell ref="C25:M25"/>
    <mergeCell ref="C26:M26"/>
    <mergeCell ref="C27:M27"/>
    <mergeCell ref="P29:Z29"/>
    <mergeCell ref="C17:M17"/>
    <mergeCell ref="C18:M18"/>
    <mergeCell ref="C19:M19"/>
    <mergeCell ref="C7:M7"/>
    <mergeCell ref="C8:M8"/>
    <mergeCell ref="C13:M13"/>
    <mergeCell ref="C9:M9"/>
    <mergeCell ref="C10:M10"/>
    <mergeCell ref="C11:M11"/>
    <mergeCell ref="C12:M12"/>
    <mergeCell ref="A1:I1"/>
    <mergeCell ref="C3:M3"/>
    <mergeCell ref="C4:M4"/>
    <mergeCell ref="F2:I2"/>
    <mergeCell ref="C33:M33"/>
    <mergeCell ref="C37:M37"/>
    <mergeCell ref="P32:Z32"/>
    <mergeCell ref="AC32:AM32"/>
    <mergeCell ref="C34:M34"/>
    <mergeCell ref="C32:M32"/>
    <mergeCell ref="C35:M35"/>
    <mergeCell ref="C36:M36"/>
    <mergeCell ref="AC29:AM29"/>
    <mergeCell ref="C28:M28"/>
    <mergeCell ref="A2:E2"/>
    <mergeCell ref="C5:M5"/>
    <mergeCell ref="C6:M6"/>
    <mergeCell ref="C30:M30"/>
    <mergeCell ref="C31:M31"/>
    <mergeCell ref="P31:Z31"/>
    <mergeCell ref="AC31:AM31"/>
    <mergeCell ref="C14:M14"/>
    <mergeCell ref="C15:M15"/>
    <mergeCell ref="C16:M16"/>
    <mergeCell ref="C38:M38"/>
    <mergeCell ref="CP30:CZ30"/>
    <mergeCell ref="EC29:EM29"/>
    <mergeCell ref="EP29:EZ29"/>
    <mergeCell ref="FC29:FM29"/>
    <mergeCell ref="CP29:CZ29"/>
    <mergeCell ref="IC30:IM30"/>
    <mergeCell ref="EP31:EZ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29:DZ29"/>
    <mergeCell ref="DP30:DZ30"/>
    <mergeCell ref="BC31:BM31"/>
    <mergeCell ref="BC32:BM32"/>
    <mergeCell ref="EC30:EM30"/>
    <mergeCell ref="EP30:EZ30"/>
    <mergeCell ref="DC38:DM38"/>
    <mergeCell ref="DP38:DZ38"/>
    <mergeCell ref="EC38:EM38"/>
    <mergeCell ref="BC39:BM39"/>
    <mergeCell ref="BP31:BZ31"/>
    <mergeCell ref="CC31:CM31"/>
    <mergeCell ref="DC32:DM32"/>
    <mergeCell ref="BP32:BZ32"/>
    <mergeCell ref="CP31:CZ31"/>
    <mergeCell ref="CC32:CM32"/>
    <mergeCell ref="DC39:DM39"/>
    <mergeCell ref="CP32:CZ32"/>
    <mergeCell ref="DC31:DM31"/>
    <mergeCell ref="DP31:DZ31"/>
    <mergeCell ref="EC31:EM31"/>
    <mergeCell ref="DP32:DZ32"/>
    <mergeCell ref="EC32:EM32"/>
    <mergeCell ref="HP32:HZ32"/>
    <mergeCell ref="IC32:IM32"/>
    <mergeCell ref="IP32:IV32"/>
    <mergeCell ref="EP38:EZ38"/>
    <mergeCell ref="FC38:FM38"/>
    <mergeCell ref="FP38:FZ38"/>
    <mergeCell ref="HC32:HM32"/>
    <mergeCell ref="HP31:HZ31"/>
    <mergeCell ref="GP32:GZ32"/>
    <mergeCell ref="IC31:IM31"/>
    <mergeCell ref="IP31:IV31"/>
    <mergeCell ref="EP32:EZ32"/>
    <mergeCell ref="FC32:FM32"/>
    <mergeCell ref="FP32:FZ32"/>
    <mergeCell ref="GC32:GM32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IP39:IV39"/>
    <mergeCell ref="EP39:EZ39"/>
    <mergeCell ref="FC39:FM39"/>
    <mergeCell ref="FP39:FZ39"/>
    <mergeCell ref="GP39:GZ39"/>
    <mergeCell ref="HP39:HZ39"/>
    <mergeCell ref="IC39:IM39"/>
    <mergeCell ref="P38:Z38"/>
    <mergeCell ref="AC38:AM38"/>
    <mergeCell ref="AP38:AZ38"/>
    <mergeCell ref="HP38:HZ38"/>
    <mergeCell ref="GC38:GM38"/>
    <mergeCell ref="GP38:GZ38"/>
    <mergeCell ref="HC38:HM38"/>
    <mergeCell ref="IC38:IM38"/>
    <mergeCell ref="AC39:AM39"/>
    <mergeCell ref="IP38:IV38"/>
    <mergeCell ref="CP38:CZ38"/>
    <mergeCell ref="BC38:BM38"/>
    <mergeCell ref="BP38:BZ38"/>
    <mergeCell ref="CC38:CM38"/>
    <mergeCell ref="AP39:AZ39"/>
    <mergeCell ref="HC39:HM39"/>
    <mergeCell ref="EC39:EM39"/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AP40:AZ40"/>
    <mergeCell ref="C43:M43"/>
    <mergeCell ref="BC40:BM40"/>
    <mergeCell ref="GC39:GM39"/>
    <mergeCell ref="BP39:BZ39"/>
    <mergeCell ref="CC39:CM39"/>
    <mergeCell ref="CP39:CZ39"/>
    <mergeCell ref="P39:Z39"/>
    <mergeCell ref="DP39:DZ39"/>
    <mergeCell ref="EC40:EM40"/>
    <mergeCell ref="C41:M41"/>
    <mergeCell ref="C39:M39"/>
    <mergeCell ref="C40:M40"/>
    <mergeCell ref="BP40:BZ40"/>
    <mergeCell ref="CC40:CM40"/>
    <mergeCell ref="IP40:IV40"/>
    <mergeCell ref="C45:M45"/>
    <mergeCell ref="DC40:DM40"/>
    <mergeCell ref="EP40:EZ40"/>
    <mergeCell ref="C44:M44"/>
    <mergeCell ref="DP40:DZ40"/>
    <mergeCell ref="IC40:IM40"/>
    <mergeCell ref="CP40:CZ40"/>
    <mergeCell ref="P40:Z40"/>
    <mergeCell ref="HP40:H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2018-09-21T17:11:12Z</cp:lastPrinted>
  <dcterms:created xsi:type="dcterms:W3CDTF">1997-12-04T19:04:30Z</dcterms:created>
  <dcterms:modified xsi:type="dcterms:W3CDTF">2018-11-30T15:18:58Z</dcterms:modified>
</cp:coreProperties>
</file>