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21600" windowHeight="1161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120" i="1" l="1"/>
  <c r="J96" i="1" l="1"/>
  <c r="H400" i="1"/>
  <c r="H399" i="1"/>
  <c r="H397" i="1"/>
  <c r="H388" i="1"/>
  <c r="H389" i="1"/>
  <c r="F440" i="1" l="1"/>
  <c r="F459" i="1" s="1"/>
  <c r="H426" i="1"/>
  <c r="H425" i="1"/>
  <c r="H423" i="1"/>
  <c r="H414" i="1"/>
  <c r="D11" i="13" l="1"/>
  <c r="B37" i="12"/>
  <c r="C20" i="12"/>
  <c r="B20" i="12"/>
  <c r="B19" i="12"/>
  <c r="C11" i="12"/>
  <c r="B11" i="12"/>
  <c r="B10" i="12"/>
  <c r="J528" i="1"/>
  <c r="J527" i="1"/>
  <c r="J526" i="1"/>
  <c r="I528" i="1"/>
  <c r="I527" i="1"/>
  <c r="I526" i="1"/>
  <c r="H528" i="1"/>
  <c r="H527" i="1"/>
  <c r="H526" i="1"/>
  <c r="F244" i="1"/>
  <c r="F226" i="1"/>
  <c r="J595" i="1"/>
  <c r="F208" i="1"/>
  <c r="I595" i="1"/>
  <c r="J591" i="1"/>
  <c r="J592" i="1"/>
  <c r="G276" i="1"/>
  <c r="F276" i="1"/>
  <c r="H360" i="1"/>
  <c r="H22" i="1"/>
  <c r="I543" i="1"/>
  <c r="I542" i="1"/>
  <c r="I541" i="1"/>
  <c r="H543" i="1"/>
  <c r="H542" i="1"/>
  <c r="H541" i="1"/>
  <c r="G543" i="1"/>
  <c r="G542" i="1"/>
  <c r="G541" i="1"/>
  <c r="F543" i="1"/>
  <c r="F542" i="1"/>
  <c r="F541" i="1"/>
  <c r="G528" i="1" l="1"/>
  <c r="G527" i="1"/>
  <c r="G526" i="1"/>
  <c r="F528" i="1"/>
  <c r="F527" i="1"/>
  <c r="F526" i="1"/>
  <c r="H537" i="1"/>
  <c r="H538" i="1"/>
  <c r="H536" i="1"/>
  <c r="K533" i="1"/>
  <c r="K532" i="1"/>
  <c r="K531" i="1"/>
  <c r="G533" i="1"/>
  <c r="G532" i="1"/>
  <c r="G531" i="1"/>
  <c r="F533" i="1"/>
  <c r="F532" i="1"/>
  <c r="F531" i="1"/>
  <c r="K523" i="1" l="1"/>
  <c r="K522" i="1"/>
  <c r="J523" i="1"/>
  <c r="J522" i="1"/>
  <c r="J521" i="1"/>
  <c r="I523" i="1"/>
  <c r="I522" i="1"/>
  <c r="I521" i="1"/>
  <c r="H521" i="1"/>
  <c r="H522" i="1"/>
  <c r="H523" i="1"/>
  <c r="G522" i="1"/>
  <c r="G521" i="1"/>
  <c r="G523" i="1"/>
  <c r="F523" i="1"/>
  <c r="F522" i="1"/>
  <c r="F521" i="1"/>
  <c r="J604" i="1" l="1"/>
  <c r="I604" i="1"/>
  <c r="H604" i="1"/>
  <c r="G203" i="1"/>
  <c r="G197" i="1"/>
  <c r="G222" i="1"/>
  <c r="G221" i="1"/>
  <c r="F200" i="1"/>
  <c r="F198" i="1"/>
  <c r="F236" i="1"/>
  <c r="F218" i="1"/>
  <c r="G234" i="1"/>
  <c r="I592" i="1"/>
  <c r="H592" i="1"/>
  <c r="I591" i="1"/>
  <c r="H591" i="1"/>
  <c r="H595" i="1"/>
  <c r="J593" i="1"/>
  <c r="J594" i="1"/>
  <c r="I594" i="1"/>
  <c r="I360" i="1" l="1"/>
  <c r="I359" i="1"/>
  <c r="I358" i="1"/>
  <c r="H368" i="1"/>
  <c r="G368" i="1"/>
  <c r="F368" i="1"/>
  <c r="H367" i="1"/>
  <c r="G367" i="1"/>
  <c r="F367" i="1"/>
  <c r="H359" i="1"/>
  <c r="H358" i="1"/>
  <c r="H48" i="1" l="1"/>
  <c r="I611" i="1"/>
  <c r="G613" i="1"/>
  <c r="G612" i="1"/>
  <c r="G611" i="1"/>
  <c r="F613" i="1"/>
  <c r="F612" i="1"/>
  <c r="F611" i="1"/>
  <c r="H585" i="1"/>
  <c r="H583" i="1"/>
  <c r="G583" i="1"/>
  <c r="F583" i="1"/>
  <c r="F580" i="1"/>
  <c r="H580" i="1"/>
  <c r="G580" i="1"/>
  <c r="H579" i="1"/>
  <c r="G579" i="1"/>
  <c r="F579" i="1"/>
  <c r="F50" i="1" l="1"/>
  <c r="H321" i="1" l="1"/>
  <c r="H320" i="1"/>
  <c r="I320" i="1"/>
  <c r="H302" i="1"/>
  <c r="H301" i="1"/>
  <c r="I301" i="1"/>
  <c r="H283" i="1"/>
  <c r="H282" i="1"/>
  <c r="I282" i="1"/>
  <c r="J319" i="1"/>
  <c r="G319" i="1"/>
  <c r="F319" i="1"/>
  <c r="K317" i="1"/>
  <c r="I317" i="1"/>
  <c r="I314" i="1"/>
  <c r="I298" i="1"/>
  <c r="H298" i="1"/>
  <c r="K314" i="1"/>
  <c r="K295" i="1"/>
  <c r="I295" i="1"/>
  <c r="I276" i="1"/>
  <c r="H314" i="1"/>
  <c r="G283" i="1"/>
  <c r="H277" i="1"/>
  <c r="G277" i="1"/>
  <c r="F277" i="1"/>
  <c r="J277" i="1"/>
  <c r="I277" i="1"/>
  <c r="G315" i="1"/>
  <c r="F315" i="1"/>
  <c r="H315" i="1"/>
  <c r="I279" i="1"/>
  <c r="G287" i="1"/>
  <c r="F287" i="1"/>
  <c r="H279" i="1"/>
  <c r="G279" i="1"/>
  <c r="F279" i="1"/>
  <c r="K333" i="1"/>
  <c r="J333" i="1"/>
  <c r="J314" i="1"/>
  <c r="J295" i="1"/>
  <c r="J276" i="1"/>
  <c r="I319" i="1"/>
  <c r="I300" i="1"/>
  <c r="I281" i="1"/>
  <c r="I333" i="1"/>
  <c r="I315" i="1"/>
  <c r="I296" i="1"/>
  <c r="H333" i="1"/>
  <c r="H296" i="1"/>
  <c r="G320" i="1"/>
  <c r="G301" i="1"/>
  <c r="G282" i="1"/>
  <c r="F282" i="1"/>
  <c r="F301" i="1"/>
  <c r="G333" i="1"/>
  <c r="F333" i="1"/>
  <c r="G317" i="1"/>
  <c r="G298" i="1"/>
  <c r="F320" i="1"/>
  <c r="F317" i="1"/>
  <c r="F298" i="1"/>
  <c r="F296" i="1"/>
  <c r="I468" i="1" l="1"/>
  <c r="H468" i="1"/>
  <c r="G468" i="1"/>
  <c r="H155" i="1" l="1"/>
  <c r="H12" i="1"/>
  <c r="H157" i="1"/>
  <c r="H159" i="1"/>
  <c r="H161" i="1"/>
  <c r="H154" i="1"/>
  <c r="G97" i="1" l="1"/>
  <c r="G132" i="1"/>
  <c r="G158" i="1"/>
  <c r="F10" i="1" l="1"/>
  <c r="F9" i="1"/>
  <c r="K208" i="1" l="1"/>
  <c r="K207" i="1"/>
  <c r="K226" i="1"/>
  <c r="K225" i="1"/>
  <c r="K244" i="1"/>
  <c r="K243" i="1"/>
  <c r="K240" i="1"/>
  <c r="K239" i="1"/>
  <c r="K234" i="1"/>
  <c r="K222" i="1"/>
  <c r="K221" i="1"/>
  <c r="K216" i="1"/>
  <c r="K204" i="1"/>
  <c r="K203" i="1"/>
  <c r="K198" i="1"/>
  <c r="K205" i="1"/>
  <c r="K223" i="1"/>
  <c r="K241" i="1"/>
  <c r="K238" i="1"/>
  <c r="K220" i="1"/>
  <c r="K236" i="1"/>
  <c r="K218" i="1"/>
  <c r="K233" i="1"/>
  <c r="K215" i="1"/>
  <c r="K197" i="1"/>
  <c r="J244" i="1" l="1"/>
  <c r="J243" i="1"/>
  <c r="J240" i="1"/>
  <c r="J239" i="1"/>
  <c r="J234" i="1"/>
  <c r="J226" i="1"/>
  <c r="J225" i="1"/>
  <c r="J222" i="1"/>
  <c r="J221" i="1"/>
  <c r="J216" i="1"/>
  <c r="J215" i="1"/>
  <c r="J208" i="1"/>
  <c r="J207" i="1"/>
  <c r="J204" i="1"/>
  <c r="J203" i="1"/>
  <c r="J198" i="1"/>
  <c r="J241" i="1"/>
  <c r="J238" i="1"/>
  <c r="J236" i="1"/>
  <c r="J233" i="1"/>
  <c r="J223" i="1"/>
  <c r="J218" i="1"/>
  <c r="J197" i="1"/>
  <c r="J205" i="1"/>
  <c r="J202" i="1"/>
  <c r="I244" i="1"/>
  <c r="I243" i="1"/>
  <c r="I240" i="1"/>
  <c r="I239" i="1"/>
  <c r="I238" i="1"/>
  <c r="I236" i="1"/>
  <c r="I234" i="1"/>
  <c r="I233" i="1"/>
  <c r="I226" i="1"/>
  <c r="I225" i="1"/>
  <c r="I223" i="1"/>
  <c r="I222" i="1"/>
  <c r="I221" i="1"/>
  <c r="I220" i="1"/>
  <c r="I218" i="1"/>
  <c r="I216" i="1"/>
  <c r="I215" i="1"/>
  <c r="I208" i="1"/>
  <c r="I207" i="1"/>
  <c r="I204" i="1"/>
  <c r="I203" i="1"/>
  <c r="I202" i="1"/>
  <c r="I200" i="1"/>
  <c r="I198" i="1"/>
  <c r="I197" i="1"/>
  <c r="I241" i="1"/>
  <c r="I205" i="1"/>
  <c r="H244" i="1"/>
  <c r="H243" i="1"/>
  <c r="H240" i="1"/>
  <c r="H239" i="1"/>
  <c r="H238" i="1"/>
  <c r="H234" i="1"/>
  <c r="H233" i="1"/>
  <c r="H226" i="1"/>
  <c r="H225" i="1"/>
  <c r="H222" i="1"/>
  <c r="H221" i="1"/>
  <c r="H220" i="1"/>
  <c r="H216" i="1"/>
  <c r="H215" i="1"/>
  <c r="H208" i="1"/>
  <c r="H207" i="1"/>
  <c r="H204" i="1"/>
  <c r="H203" i="1"/>
  <c r="H202" i="1"/>
  <c r="H198" i="1"/>
  <c r="H197" i="1"/>
  <c r="H241" i="1"/>
  <c r="H236" i="1"/>
  <c r="H235" i="1"/>
  <c r="H223" i="1"/>
  <c r="H218" i="1"/>
  <c r="H205" i="1"/>
  <c r="G244" i="1"/>
  <c r="G243" i="1"/>
  <c r="G241" i="1"/>
  <c r="G240" i="1"/>
  <c r="G239" i="1"/>
  <c r="G236" i="1"/>
  <c r="G233" i="1"/>
  <c r="G226" i="1"/>
  <c r="G225" i="1"/>
  <c r="G223" i="1"/>
  <c r="G218" i="1"/>
  <c r="G216" i="1"/>
  <c r="G215" i="1"/>
  <c r="G208" i="1"/>
  <c r="G207" i="1"/>
  <c r="G205" i="1"/>
  <c r="G204" i="1"/>
  <c r="G200" i="1"/>
  <c r="G198" i="1"/>
  <c r="G238" i="1" l="1"/>
  <c r="G220" i="1"/>
  <c r="G202" i="1"/>
  <c r="F243" i="1" l="1"/>
  <c r="F241" i="1"/>
  <c r="F240" i="1"/>
  <c r="F239" i="1"/>
  <c r="F234" i="1"/>
  <c r="F233" i="1"/>
  <c r="F225" i="1"/>
  <c r="F223" i="1"/>
  <c r="F222" i="1"/>
  <c r="F221" i="1"/>
  <c r="F216" i="1"/>
  <c r="F215" i="1"/>
  <c r="F207" i="1"/>
  <c r="F205" i="1"/>
  <c r="F204" i="1"/>
  <c r="F203" i="1"/>
  <c r="F197" i="1"/>
  <c r="F238" i="1"/>
  <c r="F220" i="1"/>
  <c r="F202" i="1"/>
  <c r="F110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C118" i="2" s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H662" i="1" s="1"/>
  <c r="F17" i="13"/>
  <c r="G17" i="13"/>
  <c r="L251" i="1"/>
  <c r="F18" i="13"/>
  <c r="G18" i="13"/>
  <c r="L252" i="1"/>
  <c r="F19" i="13"/>
  <c r="G19" i="13"/>
  <c r="D19" i="13" s="1"/>
  <c r="C19" i="13" s="1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E121" i="2" s="1"/>
  <c r="L285" i="1"/>
  <c r="E122" i="2" s="1"/>
  <c r="L286" i="1"/>
  <c r="L287" i="1"/>
  <c r="L288" i="1"/>
  <c r="E125" i="2" s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E110" i="2" s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L261" i="1"/>
  <c r="C25" i="10" s="1"/>
  <c r="L341" i="1"/>
  <c r="L342" i="1"/>
  <c r="L255" i="1"/>
  <c r="C130" i="2" s="1"/>
  <c r="L336" i="1"/>
  <c r="C11" i="13"/>
  <c r="C10" i="13"/>
  <c r="C9" i="13"/>
  <c r="L361" i="1"/>
  <c r="B4" i="12"/>
  <c r="B36" i="12"/>
  <c r="B39" i="12" s="1"/>
  <c r="B40" i="12" s="1"/>
  <c r="C36" i="12"/>
  <c r="C40" i="12"/>
  <c r="B27" i="12"/>
  <c r="C27" i="12"/>
  <c r="B31" i="12"/>
  <c r="C31" i="12"/>
  <c r="B9" i="12"/>
  <c r="B12" i="12" s="1"/>
  <c r="C12" i="12" s="1"/>
  <c r="C9" i="12"/>
  <c r="C10" i="12" s="1"/>
  <c r="C13" i="12" s="1"/>
  <c r="B18" i="12"/>
  <c r="B21" i="12" s="1"/>
  <c r="C21" i="12" s="1"/>
  <c r="B22" i="12"/>
  <c r="C18" i="12"/>
  <c r="C19" i="12" s="1"/>
  <c r="C22" i="12" s="1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35" i="10" s="1"/>
  <c r="G60" i="1"/>
  <c r="H60" i="1"/>
  <c r="I60" i="1"/>
  <c r="F79" i="1"/>
  <c r="C57" i="2" s="1"/>
  <c r="F94" i="1"/>
  <c r="F111" i="1"/>
  <c r="G111" i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L250" i="1"/>
  <c r="L332" i="1"/>
  <c r="L254" i="1"/>
  <c r="L268" i="1"/>
  <c r="L269" i="1"/>
  <c r="L349" i="1"/>
  <c r="C26" i="10" s="1"/>
  <c r="L350" i="1"/>
  <c r="I665" i="1"/>
  <c r="I670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F78" i="2" s="1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D81" i="2" s="1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C113" i="2"/>
  <c r="E113" i="2"/>
  <c r="C114" i="2"/>
  <c r="D115" i="2"/>
  <c r="F115" i="2"/>
  <c r="G115" i="2"/>
  <c r="E120" i="2"/>
  <c r="E123" i="2"/>
  <c r="E124" i="2"/>
  <c r="C125" i="2"/>
  <c r="F128" i="2"/>
  <c r="G128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G624" i="1" s="1"/>
  <c r="I51" i="1"/>
  <c r="I52" i="1" s="1"/>
  <c r="H620" i="1" s="1"/>
  <c r="F177" i="1"/>
  <c r="I177" i="1"/>
  <c r="F183" i="1"/>
  <c r="F192" i="1" s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L256" i="1" s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G408" i="1" s="1"/>
  <c r="H645" i="1" s="1"/>
  <c r="H393" i="1"/>
  <c r="I393" i="1"/>
  <c r="F401" i="1"/>
  <c r="G401" i="1"/>
  <c r="H401" i="1"/>
  <c r="I401" i="1"/>
  <c r="F407" i="1"/>
  <c r="G407" i="1"/>
  <c r="H407" i="1"/>
  <c r="I407" i="1"/>
  <c r="F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F452" i="1"/>
  <c r="G452" i="1"/>
  <c r="H452" i="1"/>
  <c r="I452" i="1"/>
  <c r="F460" i="1"/>
  <c r="F461" i="1" s="1"/>
  <c r="H639" i="1" s="1"/>
  <c r="G460" i="1"/>
  <c r="H460" i="1"/>
  <c r="G461" i="1"/>
  <c r="H461" i="1"/>
  <c r="G470" i="1"/>
  <c r="H470" i="1"/>
  <c r="I470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60" i="1" s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K571" i="1" s="1"/>
  <c r="L567" i="1"/>
  <c r="L568" i="1"/>
  <c r="L569" i="1"/>
  <c r="F570" i="1"/>
  <c r="F571" i="1" s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8" i="1"/>
  <c r="G622" i="1"/>
  <c r="G623" i="1"/>
  <c r="H628" i="1"/>
  <c r="H629" i="1"/>
  <c r="H630" i="1"/>
  <c r="G640" i="1"/>
  <c r="H640" i="1"/>
  <c r="G641" i="1"/>
  <c r="J641" i="1" s="1"/>
  <c r="H641" i="1"/>
  <c r="G643" i="1"/>
  <c r="H643" i="1"/>
  <c r="J643" i="1" s="1"/>
  <c r="G644" i="1"/>
  <c r="G650" i="1"/>
  <c r="G652" i="1"/>
  <c r="H652" i="1"/>
  <c r="G653" i="1"/>
  <c r="H653" i="1"/>
  <c r="G654" i="1"/>
  <c r="H654" i="1"/>
  <c r="H655" i="1"/>
  <c r="J655" i="1" s="1"/>
  <c r="G62" i="2"/>
  <c r="E78" i="2"/>
  <c r="J571" i="1"/>
  <c r="I169" i="1"/>
  <c r="F169" i="1"/>
  <c r="J140" i="1"/>
  <c r="G22" i="2"/>
  <c r="H140" i="1"/>
  <c r="J640" i="1"/>
  <c r="H571" i="1"/>
  <c r="H192" i="1"/>
  <c r="L570" i="1"/>
  <c r="I571" i="1"/>
  <c r="G36" i="2"/>
  <c r="L565" i="1"/>
  <c r="I446" i="1" l="1"/>
  <c r="G642" i="1" s="1"/>
  <c r="L427" i="1"/>
  <c r="L401" i="1"/>
  <c r="C139" i="2" s="1"/>
  <c r="D62" i="2"/>
  <c r="E16" i="13"/>
  <c r="C16" i="13" s="1"/>
  <c r="D91" i="2"/>
  <c r="G156" i="2"/>
  <c r="C91" i="2"/>
  <c r="C70" i="2"/>
  <c r="D63" i="2"/>
  <c r="L393" i="1"/>
  <c r="C138" i="2" s="1"/>
  <c r="H408" i="1"/>
  <c r="H644" i="1" s="1"/>
  <c r="J644" i="1" s="1"/>
  <c r="I460" i="1"/>
  <c r="I461" i="1" s="1"/>
  <c r="H642" i="1" s="1"/>
  <c r="E62" i="2"/>
  <c r="E63" i="2" s="1"/>
  <c r="D18" i="13"/>
  <c r="C18" i="13" s="1"/>
  <c r="D17" i="13"/>
  <c r="C17" i="13" s="1"/>
  <c r="D31" i="2"/>
  <c r="D51" i="2" s="1"/>
  <c r="D18" i="2"/>
  <c r="F18" i="2"/>
  <c r="A31" i="12"/>
  <c r="E103" i="2"/>
  <c r="E81" i="2"/>
  <c r="G164" i="2"/>
  <c r="J545" i="1"/>
  <c r="J552" i="1"/>
  <c r="L544" i="1"/>
  <c r="I552" i="1"/>
  <c r="H552" i="1"/>
  <c r="L534" i="1"/>
  <c r="K545" i="1"/>
  <c r="I545" i="1"/>
  <c r="H545" i="1"/>
  <c r="G545" i="1"/>
  <c r="K550" i="1"/>
  <c r="F552" i="1"/>
  <c r="K551" i="1"/>
  <c r="L524" i="1"/>
  <c r="K549" i="1"/>
  <c r="K598" i="1"/>
  <c r="G647" i="1" s="1"/>
  <c r="I369" i="1"/>
  <c r="H634" i="1" s="1"/>
  <c r="J634" i="1" s="1"/>
  <c r="F130" i="2"/>
  <c r="F144" i="2" s="1"/>
  <c r="F145" i="2" s="1"/>
  <c r="K500" i="1"/>
  <c r="G161" i="2"/>
  <c r="G157" i="2"/>
  <c r="C132" i="2"/>
  <c r="L270" i="1"/>
  <c r="H25" i="13"/>
  <c r="C25" i="13" s="1"/>
  <c r="C29" i="10"/>
  <c r="F661" i="1"/>
  <c r="G661" i="1"/>
  <c r="L362" i="1"/>
  <c r="G472" i="1" s="1"/>
  <c r="H661" i="1"/>
  <c r="E119" i="2"/>
  <c r="K338" i="1"/>
  <c r="F338" i="1"/>
  <c r="F352" i="1" s="1"/>
  <c r="G338" i="1"/>
  <c r="G352" i="1" s="1"/>
  <c r="C21" i="10"/>
  <c r="E118" i="2"/>
  <c r="L328" i="1"/>
  <c r="E112" i="2"/>
  <c r="L309" i="1"/>
  <c r="H338" i="1"/>
  <c r="H352" i="1" s="1"/>
  <c r="E109" i="2"/>
  <c r="L419" i="1"/>
  <c r="J639" i="1"/>
  <c r="E31" i="2"/>
  <c r="H52" i="1"/>
  <c r="H619" i="1" s="1"/>
  <c r="J619" i="1" s="1"/>
  <c r="J617" i="1"/>
  <c r="C18" i="2"/>
  <c r="G645" i="1"/>
  <c r="J645" i="1"/>
  <c r="G651" i="1"/>
  <c r="J651" i="1" s="1"/>
  <c r="K257" i="1"/>
  <c r="K271" i="1" s="1"/>
  <c r="D14" i="13"/>
  <c r="C14" i="13" s="1"/>
  <c r="C122" i="2"/>
  <c r="J257" i="1"/>
  <c r="J271" i="1" s="1"/>
  <c r="C13" i="10"/>
  <c r="C112" i="2"/>
  <c r="C18" i="10"/>
  <c r="I257" i="1"/>
  <c r="I271" i="1" s="1"/>
  <c r="C12" i="10"/>
  <c r="C110" i="2"/>
  <c r="H257" i="1"/>
  <c r="H271" i="1" s="1"/>
  <c r="C16" i="10"/>
  <c r="C17" i="10"/>
  <c r="C121" i="2"/>
  <c r="C119" i="2"/>
  <c r="D7" i="13"/>
  <c r="C7" i="13" s="1"/>
  <c r="L247" i="1"/>
  <c r="G257" i="1"/>
  <c r="G271" i="1" s="1"/>
  <c r="G662" i="1"/>
  <c r="L229" i="1"/>
  <c r="A40" i="12"/>
  <c r="C11" i="10"/>
  <c r="C20" i="10"/>
  <c r="C123" i="2"/>
  <c r="F257" i="1"/>
  <c r="F271" i="1" s="1"/>
  <c r="C10" i="10"/>
  <c r="L211" i="1"/>
  <c r="D5" i="13"/>
  <c r="C5" i="13" s="1"/>
  <c r="C109" i="2"/>
  <c r="C78" i="2"/>
  <c r="F112" i="1"/>
  <c r="H112" i="1"/>
  <c r="H193" i="1" s="1"/>
  <c r="G629" i="1" s="1"/>
  <c r="J629" i="1" s="1"/>
  <c r="D29" i="13"/>
  <c r="C29" i="13" s="1"/>
  <c r="E8" i="13"/>
  <c r="C8" i="13" s="1"/>
  <c r="D12" i="13"/>
  <c r="C12" i="13" s="1"/>
  <c r="L290" i="1"/>
  <c r="L539" i="1"/>
  <c r="K503" i="1"/>
  <c r="L382" i="1"/>
  <c r="I472" i="1" s="1"/>
  <c r="K352" i="1"/>
  <c r="G81" i="2"/>
  <c r="C62" i="2"/>
  <c r="C19" i="10"/>
  <c r="C15" i="10"/>
  <c r="G112" i="1"/>
  <c r="F22" i="13"/>
  <c r="C22" i="13" s="1"/>
  <c r="G552" i="1"/>
  <c r="E13" i="13"/>
  <c r="C13" i="13" s="1"/>
  <c r="D6" i="13"/>
  <c r="C6" i="13" s="1"/>
  <c r="D15" i="13"/>
  <c r="C15" i="13" s="1"/>
  <c r="G649" i="1"/>
  <c r="J649" i="1" s="1"/>
  <c r="J338" i="1"/>
  <c r="J352" i="1" s="1"/>
  <c r="E130" i="2"/>
  <c r="E144" i="2" s="1"/>
  <c r="D127" i="2"/>
  <c r="D128" i="2" s="1"/>
  <c r="D145" i="2" s="1"/>
  <c r="C124" i="2"/>
  <c r="C120" i="2"/>
  <c r="C111" i="2"/>
  <c r="C56" i="2"/>
  <c r="F662" i="1"/>
  <c r="F81" i="2"/>
  <c r="L351" i="1"/>
  <c r="H647" i="1"/>
  <c r="G625" i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F50" i="2"/>
  <c r="C24" i="10"/>
  <c r="G31" i="13"/>
  <c r="G33" i="13" s="1"/>
  <c r="I338" i="1"/>
  <c r="I352" i="1" s="1"/>
  <c r="J650" i="1"/>
  <c r="L407" i="1"/>
  <c r="C140" i="2" s="1"/>
  <c r="L571" i="1"/>
  <c r="I192" i="1"/>
  <c r="E91" i="2"/>
  <c r="J654" i="1"/>
  <c r="J653" i="1"/>
  <c r="G21" i="2"/>
  <c r="G31" i="2" s="1"/>
  <c r="J32" i="1"/>
  <c r="L434" i="1"/>
  <c r="J434" i="1"/>
  <c r="F434" i="1"/>
  <c r="K434" i="1"/>
  <c r="G134" i="2" s="1"/>
  <c r="G144" i="2" s="1"/>
  <c r="G145" i="2" s="1"/>
  <c r="F31" i="13"/>
  <c r="J193" i="1"/>
  <c r="G646" i="1" s="1"/>
  <c r="G169" i="1"/>
  <c r="C39" i="10" s="1"/>
  <c r="G140" i="1"/>
  <c r="F140" i="1"/>
  <c r="G63" i="2"/>
  <c r="J618" i="1"/>
  <c r="G42" i="2"/>
  <c r="G50" i="2" s="1"/>
  <c r="J51" i="1"/>
  <c r="G16" i="2"/>
  <c r="G18" i="2" s="1"/>
  <c r="J19" i="1"/>
  <c r="G621" i="1" s="1"/>
  <c r="F545" i="1"/>
  <c r="H434" i="1"/>
  <c r="J620" i="1"/>
  <c r="D103" i="2"/>
  <c r="I140" i="1"/>
  <c r="I193" i="1" s="1"/>
  <c r="G630" i="1" s="1"/>
  <c r="J630" i="1" s="1"/>
  <c r="A22" i="12"/>
  <c r="J652" i="1"/>
  <c r="J642" i="1"/>
  <c r="G571" i="1"/>
  <c r="I434" i="1"/>
  <c r="G434" i="1"/>
  <c r="I663" i="1"/>
  <c r="C141" i="2" l="1"/>
  <c r="C144" i="2" s="1"/>
  <c r="D104" i="2"/>
  <c r="E128" i="2"/>
  <c r="C81" i="2"/>
  <c r="E104" i="2"/>
  <c r="F51" i="2"/>
  <c r="G51" i="2"/>
  <c r="F104" i="2"/>
  <c r="K552" i="1"/>
  <c r="L545" i="1"/>
  <c r="F33" i="13"/>
  <c r="J647" i="1"/>
  <c r="I661" i="1"/>
  <c r="H33" i="13"/>
  <c r="G636" i="1"/>
  <c r="G635" i="1"/>
  <c r="C27" i="10"/>
  <c r="C28" i="10" s="1"/>
  <c r="D23" i="10" s="1"/>
  <c r="G474" i="1"/>
  <c r="G476" i="1" s="1"/>
  <c r="H623" i="1" s="1"/>
  <c r="J623" i="1" s="1"/>
  <c r="H635" i="1"/>
  <c r="G660" i="1"/>
  <c r="G664" i="1" s="1"/>
  <c r="G672" i="1" s="1"/>
  <c r="C5" i="10" s="1"/>
  <c r="H660" i="1"/>
  <c r="H664" i="1" s="1"/>
  <c r="H672" i="1" s="1"/>
  <c r="C6" i="10" s="1"/>
  <c r="E115" i="2"/>
  <c r="E145" i="2" s="1"/>
  <c r="D31" i="13"/>
  <c r="C31" i="13" s="1"/>
  <c r="G638" i="1"/>
  <c r="J472" i="1"/>
  <c r="E51" i="2"/>
  <c r="G104" i="2"/>
  <c r="H648" i="1"/>
  <c r="J648" i="1" s="1"/>
  <c r="I662" i="1"/>
  <c r="L257" i="1"/>
  <c r="E33" i="13"/>
  <c r="D35" i="13" s="1"/>
  <c r="C115" i="2"/>
  <c r="C128" i="2"/>
  <c r="F660" i="1"/>
  <c r="F664" i="1" s="1"/>
  <c r="F672" i="1" s="1"/>
  <c r="C4" i="10" s="1"/>
  <c r="F193" i="1"/>
  <c r="L408" i="1"/>
  <c r="J468" i="1" s="1"/>
  <c r="C63" i="2"/>
  <c r="C36" i="10"/>
  <c r="L338" i="1"/>
  <c r="L352" i="1" s="1"/>
  <c r="C51" i="2"/>
  <c r="G631" i="1"/>
  <c r="G193" i="1"/>
  <c r="G628" i="1" s="1"/>
  <c r="J628" i="1" s="1"/>
  <c r="G626" i="1"/>
  <c r="J52" i="1"/>
  <c r="H621" i="1" s="1"/>
  <c r="J621" i="1" s="1"/>
  <c r="C38" i="10"/>
  <c r="H637" i="1" l="1"/>
  <c r="J470" i="1"/>
  <c r="H631" i="1"/>
  <c r="J631" i="1"/>
  <c r="C104" i="2"/>
  <c r="L271" i="1"/>
  <c r="H636" i="1"/>
  <c r="J636" i="1" s="1"/>
  <c r="I474" i="1"/>
  <c r="I476" i="1" s="1"/>
  <c r="H625" i="1" s="1"/>
  <c r="J625" i="1" s="1"/>
  <c r="J635" i="1"/>
  <c r="G667" i="1"/>
  <c r="H667" i="1"/>
  <c r="D33" i="13"/>
  <c r="D36" i="13" s="1"/>
  <c r="G633" i="1"/>
  <c r="H472" i="1"/>
  <c r="H638" i="1"/>
  <c r="J638" i="1" s="1"/>
  <c r="J474" i="1"/>
  <c r="J476" i="1" s="1"/>
  <c r="H626" i="1" s="1"/>
  <c r="J626" i="1" s="1"/>
  <c r="G627" i="1"/>
  <c r="F468" i="1"/>
  <c r="D21" i="10"/>
  <c r="D22" i="10"/>
  <c r="D13" i="10"/>
  <c r="D11" i="10"/>
  <c r="D27" i="10"/>
  <c r="D18" i="10"/>
  <c r="D17" i="10"/>
  <c r="D12" i="10"/>
  <c r="D24" i="10"/>
  <c r="D10" i="10"/>
  <c r="D26" i="10"/>
  <c r="C30" i="10"/>
  <c r="D16" i="10"/>
  <c r="D20" i="10"/>
  <c r="D15" i="10"/>
  <c r="D25" i="10"/>
  <c r="D19" i="10"/>
  <c r="I660" i="1"/>
  <c r="I664" i="1" s="1"/>
  <c r="I672" i="1" s="1"/>
  <c r="C7" i="10" s="1"/>
  <c r="F667" i="1"/>
  <c r="C145" i="2"/>
  <c r="G637" i="1"/>
  <c r="J637" i="1" s="1"/>
  <c r="H646" i="1"/>
  <c r="J646" i="1" s="1"/>
  <c r="C41" i="10"/>
  <c r="D38" i="10" s="1"/>
  <c r="G632" i="1" l="1"/>
  <c r="F472" i="1"/>
  <c r="H632" i="1"/>
  <c r="F474" i="1"/>
  <c r="H633" i="1"/>
  <c r="J633" i="1" s="1"/>
  <c r="H474" i="1"/>
  <c r="H476" i="1" s="1"/>
  <c r="H624" i="1" s="1"/>
  <c r="J624" i="1" s="1"/>
  <c r="H627" i="1"/>
  <c r="J627" i="1" s="1"/>
  <c r="F470" i="1"/>
  <c r="D28" i="10"/>
  <c r="I667" i="1"/>
  <c r="D37" i="10"/>
  <c r="D36" i="10"/>
  <c r="D35" i="10"/>
  <c r="D40" i="10"/>
  <c r="D39" i="10"/>
  <c r="J632" i="1" l="1"/>
  <c r="F476" i="1"/>
  <c r="H622" i="1" s="1"/>
  <c r="J622" i="1" s="1"/>
  <c r="H656" i="1"/>
  <c r="D41" i="10"/>
  <c r="B13" i="12"/>
  <c r="A13" i="12" s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<sst xmlns="http://schemas.openxmlformats.org/spreadsheetml/2006/main" count="3961" uniqueCount="917">
  <si>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</si>
  <si>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</si>
  <si>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</si>
  <si>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</si>
  <si>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</si>
  <si>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</si>
  <si>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</si>
  <si>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</si>
  <si>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</si>
  <si>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</si>
  <si>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</si>
  <si>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</si>
  <si>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</si>
  <si>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</si>
  <si>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</si>
  <si>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</si>
  <si>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</si>
  <si>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</si>
  <si>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</si>
  <si>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</si>
  <si>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</si>
  <si>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</si>
  <si>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</si>
  <si>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</si>
  <si>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</si>
  <si>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</si>
  <si>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</si>
  <si>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</si>
  <si>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</si>
  <si>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</si>
  <si>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</si>
  <si>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</si>
  <si>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</si>
  <si>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</si>
  <si>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</si>
  <si>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</si>
  <si>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</si>
  <si>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</si>
  <si>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</si>
  <si>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</si>
  <si>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</si>
  <si>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</si>
  <si>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</si>
  <si>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</si>
  <si>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</si>
  <si>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</si>
  <si>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</si>
  <si>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</si>
  <si>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</si>
  <si>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</si>
  <si>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</si>
  <si>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</si>
  <si>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</si>
  <si>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</si>
  <si>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</si>
  <si>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</si>
  <si>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</si>
  <si>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</si>
  <si>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</si>
  <si>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</si>
  <si>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</si>
  <si>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</si>
  <si>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</si>
  <si>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</si>
  <si>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</si>
  <si>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</si>
  <si>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</si>
  <si>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</si>
  <si>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</si>
  <si>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</si>
  <si>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</si>
  <si>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</si>
  <si>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</si>
  <si>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</si>
  <si>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</si>
  <si>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</si>
  <si>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</si>
  <si>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</si>
  <si>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</si>
  <si>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</si>
  <si>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</si>
  <si>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</si>
  <si>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</si>
  <si>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</si>
  <si>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</si>
  <si>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</si>
  <si>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</si>
  <si>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</si>
  <si>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</si>
  <si>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</si>
  <si>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</si>
  <si>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</si>
  <si>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</si>
  <si>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</si>
  <si>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</si>
  <si>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</si>
  <si>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</si>
  <si>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</si>
  <si>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</si>
  <si>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</si>
  <si>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</si>
  <si>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</si>
  <si>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</si>
  <si>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</si>
  <si>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</si>
  <si>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</si>
  <si>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</si>
  <si>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</si>
  <si>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</si>
  <si>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</si>
  <si>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</si>
  <si>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</si>
  <si>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</si>
  <si>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</si>
  <si>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</si>
  <si>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</si>
  <si>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</si>
  <si>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</si>
  <si>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</si>
  <si>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</si>
  <si>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</si>
  <si>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</si>
  <si>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</si>
  <si>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</si>
  <si>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</si>
  <si>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</si>
  <si>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</si>
  <si>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</si>
  <si>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</si>
  <si>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</si>
  <si>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</si>
  <si>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</si>
  <si>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</si>
  <si>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</si>
  <si>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</si>
  <si>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</si>
  <si>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</si>
  <si>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</si>
  <si>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</si>
  <si>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</si>
  <si>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</si>
  <si>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</si>
  <si>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</si>
  <si>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</si>
  <si>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</si>
  <si>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</si>
  <si>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</si>
  <si>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</si>
  <si>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</si>
  <si>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</si>
  <si>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</si>
  <si>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</si>
  <si>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</si>
  <si>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</si>
  <si>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</si>
  <si>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</si>
  <si>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</si>
  <si>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</si>
  <si>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</si>
  <si>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</si>
  <si>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</si>
  <si>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</si>
  <si>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</si>
  <si>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</si>
  <si>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</si>
  <si>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</si>
  <si>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</si>
  <si>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</si>
  <si>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</si>
  <si>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</si>
  <si>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</si>
  <si>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</si>
  <si>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</si>
  <si>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</si>
  <si>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</si>
  <si>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</si>
  <si>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</si>
  <si>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</si>
  <si>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</si>
  <si>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</si>
  <si>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</si>
  <si>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</si>
  <si>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</si>
  <si>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</si>
  <si>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</si>
  <si>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</si>
  <si>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</si>
  <si>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</si>
  <si>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</si>
  <si>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</si>
  <si>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</si>
  <si>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</si>
  <si>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</si>
  <si>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</si>
  <si>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</si>
  <si>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</si>
  <si>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</si>
  <si>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</si>
  <si>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</si>
  <si>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</si>
  <si>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</si>
  <si>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</si>
  <si>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</si>
  <si>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</si>
  <si>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</si>
  <si>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</si>
  <si>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</si>
  <si>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</si>
  <si>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</si>
  <si>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</si>
  <si>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</si>
  <si>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</si>
  <si>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</si>
  <si>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</si>
  <si>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</si>
  <si>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</si>
  <si>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</si>
  <si>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</si>
  <si>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</si>
  <si>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</si>
  <si>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</si>
  <si>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</si>
  <si>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</si>
  <si>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</si>
  <si>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</si>
  <si>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</si>
  <si>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</si>
  <si>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</si>
  <si>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</si>
  <si>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</si>
  <si>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</si>
  <si>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</si>
  <si>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</si>
  <si>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</si>
  <si>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</si>
  <si>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</si>
  <si>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</si>
  <si>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</si>
  <si>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</si>
  <si>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</si>
  <si>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</si>
  <si>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</si>
  <si>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</si>
  <si>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</si>
  <si>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</si>
  <si>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</si>
  <si>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</si>
  <si>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</si>
  <si>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</si>
  <si>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</si>
  <si>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</si>
  <si>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</si>
  <si>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</si>
  <si>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</si>
  <si>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</si>
  <si>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</si>
  <si>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</si>
  <si>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</si>
  <si>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</si>
  <si>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</si>
  <si>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</si>
  <si>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</si>
  <si>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</si>
  <si>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</si>
  <si>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</si>
  <si>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</si>
  <si>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</si>
  <si>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</si>
  <si>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</si>
  <si>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</si>
  <si>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</si>
  <si>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</si>
  <si>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</si>
  <si>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</si>
  <si>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</si>
  <si>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</si>
  <si>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</si>
  <si>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</si>
  <si>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</si>
  <si>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</si>
  <si>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</si>
  <si>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</si>
  <si>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</si>
  <si>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</si>
  <si>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</si>
  <si>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</si>
  <si>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</si>
  <si>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</si>
  <si>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</si>
  <si>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</si>
  <si>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</si>
  <si>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</si>
  <si>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</si>
  <si>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</si>
  <si>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</si>
  <si>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</si>
  <si>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</si>
  <si>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</si>
  <si>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</si>
  <si>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</si>
  <si>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</si>
  <si>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</si>
  <si>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</si>
  <si>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</si>
  <si>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</si>
  <si>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</si>
  <si>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</si>
  <si>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</si>
  <si>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</si>
  <si>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</si>
  <si>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</si>
  <si>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</si>
  <si>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</si>
  <si>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</si>
  <si>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</si>
  <si>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</si>
  <si>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</si>
  <si>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</si>
  <si>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</si>
  <si>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</si>
  <si>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</si>
  <si>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</si>
  <si>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</si>
  <si>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</si>
  <si>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</si>
  <si>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</si>
  <si>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</si>
  <si>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</si>
  <si>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</si>
  <si>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</si>
  <si>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</si>
  <si>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</si>
  <si>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</si>
  <si>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</si>
  <si>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</si>
  <si>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</si>
  <si>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</si>
  <si>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</si>
  <si>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</si>
  <si>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</si>
  <si>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</si>
  <si>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</si>
  <si>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</si>
  <si>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</si>
  <si>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</si>
  <si>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</si>
  <si>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</si>
  <si>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</si>
  <si>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</si>
  <si>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</si>
  <si>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</si>
  <si>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</si>
  <si>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</si>
  <si>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</si>
  <si>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</si>
  <si>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</si>
  <si>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</si>
  <si>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</si>
  <si>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</si>
  <si>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</si>
  <si>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</si>
  <si>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</si>
  <si>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</si>
  <si>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</si>
  <si>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</si>
  <si>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</si>
  <si>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</si>
  <si>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</si>
  <si>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</si>
  <si>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</si>
  <si>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</si>
  <si>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</si>
  <si>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</si>
  <si>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</si>
  <si>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</si>
  <si>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</si>
  <si>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</si>
  <si>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</si>
  <si>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</si>
  <si>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</si>
  <si>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</si>
  <si>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</si>
  <si>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</si>
  <si>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</si>
  <si>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</si>
  <si>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</si>
  <si>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</si>
  <si>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</si>
  <si>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</si>
  <si>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</si>
  <si>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</si>
  <si>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</si>
  <si>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</si>
  <si>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</si>
  <si>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</si>
  <si>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</si>
  <si>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</si>
  <si>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</si>
  <si>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</si>
  <si>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</si>
  <si>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</si>
  <si>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</si>
  <si>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</si>
  <si>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</si>
  <si>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</si>
  <si>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</si>
  <si>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</si>
  <si>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</si>
  <si>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</si>
  <si>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</si>
  <si>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</si>
  <si>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</si>
  <si>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</si>
  <si>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</si>
  <si>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</si>
  <si>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</si>
  <si>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</si>
  <si>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</si>
  <si>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</si>
  <si>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</si>
  <si>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</si>
  <si>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</si>
  <si>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</si>
  <si>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</si>
  <si>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</si>
  <si>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</si>
  <si>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</si>
  <si>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</si>
  <si>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</si>
  <si>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</si>
  <si>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</si>
  <si>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</si>
  <si>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</si>
  <si>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</si>
  <si>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</si>
  <si>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</si>
  <si>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</si>
  <si>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</si>
  <si>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</si>
  <si>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</si>
  <si>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</si>
  <si>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</si>
  <si>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</si>
  <si>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</si>
  <si>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</si>
  <si>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</si>
  <si>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</si>
  <si>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</si>
  <si>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</si>
  <si>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</si>
  <si>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</si>
  <si>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</si>
  <si>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</si>
  <si>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</si>
  <si>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</si>
  <si>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</si>
  <si>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</si>
  <si>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</si>
  <si>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</si>
  <si>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</si>
  <si>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</si>
  <si>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</si>
  <si>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</si>
  <si>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</si>
  <si>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</si>
  <si>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</si>
  <si>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</si>
  <si>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</si>
  <si>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</si>
  <si>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</si>
  <si>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</si>
  <si>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</si>
  <si>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</si>
  <si>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</si>
  <si>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</si>
  <si>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</si>
  <si>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</si>
  <si>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</si>
  <si>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</si>
  <si>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</si>
  <si>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</si>
  <si>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</si>
  <si>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</si>
  <si>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</si>
  <si>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</si>
  <si>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</si>
  <si>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</si>
  <si>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</si>
  <si>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</si>
  <si>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</si>
  <si>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</si>
  <si>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</si>
  <si>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</si>
  <si>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</si>
  <si>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</si>
  <si>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</si>
  <si>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</si>
  <si>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</si>
  <si>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</si>
  <si>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</si>
  <si>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</si>
  <si>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</si>
  <si>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</si>
  <si>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</si>
  <si>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</si>
  <si>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</si>
  <si>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</si>
  <si>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</si>
  <si>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</si>
  <si>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</si>
  <si>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</si>
  <si>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</si>
  <si>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</si>
  <si>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</si>
  <si>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</si>
  <si>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</si>
  <si>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</si>
  <si>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</si>
  <si>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</si>
  <si>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</si>
  <si>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</si>
  <si>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</si>
  <si>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</si>
  <si>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</si>
  <si>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</si>
  <si>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</si>
  <si>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</si>
  <si>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</si>
  <si>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</si>
  <si>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</si>
  <si>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</si>
  <si>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</si>
  <si>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</si>
  <si>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</si>
  <si>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</si>
  <si>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</si>
  <si>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</si>
  <si>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</si>
  <si>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</si>
  <si>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</si>
  <si>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</si>
  <si>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</si>
  <si>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</si>
  <si>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</si>
  <si>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</si>
  <si>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</si>
  <si>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</si>
  <si>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</si>
  <si>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</si>
  <si>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</si>
  <si>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</si>
  <si>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</si>
  <si>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</si>
  <si>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</si>
  <si>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</si>
  <si>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</si>
  <si>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</si>
  <si>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</si>
  <si>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</si>
  <si>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</si>
  <si>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</si>
  <si>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</si>
  <si>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</si>
  <si>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</si>
  <si>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</si>
  <si>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</si>
  <si>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</si>
  <si>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</si>
  <si>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</si>
  <si>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</si>
  <si>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</si>
  <si>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</si>
  <si>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</si>
  <si>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</si>
  <si>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</si>
  <si>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</si>
  <si>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</si>
  <si>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</si>
  <si>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</si>
  <si>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</si>
  <si>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</si>
  <si>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</si>
  <si>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</si>
  <si>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</si>
  <si>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</si>
  <si>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</si>
  <si>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</si>
  <si>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</si>
  <si>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</si>
  <si>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</si>
  <si>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</si>
  <si>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</si>
  <si>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</si>
  <si>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</si>
  <si>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</si>
  <si>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</si>
  <si>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</si>
  <si>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</si>
  <si>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</si>
  <si>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</si>
  <si>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</si>
  <si>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</si>
  <si>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</si>
  <si>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</si>
  <si>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</si>
  <si>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</si>
  <si>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</si>
  <si>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</si>
  <si>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</si>
  <si>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</si>
  <si>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</si>
  <si>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</si>
  <si>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</si>
  <si>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</si>
  <si>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</si>
  <si>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</si>
  <si>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</si>
  <si>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</si>
  <si>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</si>
  <si>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</si>
  <si>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</si>
  <si>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</si>
  <si>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</si>
  <si>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</si>
  <si>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</si>
  <si>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</si>
  <si>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</si>
  <si>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</si>
  <si>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</si>
  <si>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</si>
  <si>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</si>
  <si>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</si>
  <si>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</si>
  <si>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</si>
  <si>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</si>
  <si>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</si>
  <si>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</si>
  <si>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</si>
  <si>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</si>
  <si>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</si>
  <si>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</si>
  <si>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</si>
  <si>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</si>
  <si>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</si>
  <si>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</si>
  <si>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</si>
  <si>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</si>
  <si>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</si>
  <si>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</si>
  <si>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</si>
  <si>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</si>
  <si>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</si>
  <si>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</si>
  <si>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</si>
  <si>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</si>
  <si>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</si>
  <si>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</si>
  <si>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</si>
  <si>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</si>
  <si>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</si>
  <si>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</si>
  <si>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</si>
  <si>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</si>
  <si>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</si>
  <si>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</si>
  <si>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</si>
  <si>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</si>
  <si>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</si>
  <si>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</si>
  <si>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</si>
  <si>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</si>
  <si>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</si>
  <si>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</si>
  <si>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</si>
  <si>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</si>
  <si>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</si>
  <si>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</si>
  <si>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</si>
  <si>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</si>
  <si>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</si>
  <si>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</si>
  <si>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</si>
  <si>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</si>
  <si>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</si>
  <si>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</si>
  <si>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</si>
  <si>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</si>
  <si>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</si>
  <si>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</si>
  <si>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</si>
  <si>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</si>
  <si>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</si>
  <si>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</si>
  <si>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</si>
  <si>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</si>
  <si>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</si>
  <si>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</si>
  <si>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</si>
  <si>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</si>
  <si>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</si>
  <si>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</si>
  <si>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</si>
  <si>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</si>
  <si>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</si>
  <si>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</si>
  <si>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</si>
  <si>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</si>
  <si>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</si>
  <si>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</si>
  <si>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</si>
  <si>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</si>
  <si>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</si>
  <si>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</si>
  <si>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</si>
  <si>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</si>
  <si>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</si>
  <si>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</si>
  <si>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</si>
  <si>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</si>
  <si>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</si>
  <si>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</si>
  <si>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</si>
  <si>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</si>
  <si>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</si>
  <si>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</si>
  <si>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</si>
  <si>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</si>
  <si>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</si>
  <si>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</si>
  <si>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</si>
  <si>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</si>
  <si>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</si>
  <si>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</si>
  <si>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</si>
  <si>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</si>
  <si>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</si>
  <si>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</si>
  <si>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</si>
  <si>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</si>
  <si>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</si>
  <si>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</si>
  <si>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</si>
  <si>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</si>
  <si>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</si>
  <si>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</si>
  <si>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</si>
  <si>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</si>
  <si>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</si>
  <si>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</si>
  <si>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</si>
  <si>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</si>
  <si>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</si>
  <si>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</si>
  <si>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</si>
  <si>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</si>
  <si>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</si>
  <si>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</si>
  <si>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</si>
  <si>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</si>
  <si>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</si>
  <si>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</si>
  <si>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</si>
  <si>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</si>
  <si>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</si>
  <si>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</si>
  <si>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</si>
  <si>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</si>
  <si>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</si>
  <si>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</si>
  <si>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</si>
  <si>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</si>
  <si>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</si>
  <si>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</si>
  <si>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</si>
  <si>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</si>
  <si>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</si>
  <si>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</si>
  <si>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</si>
  <si>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</si>
  <si>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</si>
  <si>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</si>
  <si>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</si>
  <si>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</si>
  <si>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</si>
  <si>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</si>
  <si>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</si>
  <si>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</si>
  <si>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</si>
  <si>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</si>
  <si>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</si>
  <si>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</si>
  <si>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</si>
  <si>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</si>
  <si>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</si>
  <si>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</si>
  <si>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</si>
  <si>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</si>
  <si>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</si>
  <si>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</si>
  <si>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</si>
  <si>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</si>
  <si>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</si>
  <si>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</si>
  <si>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</si>
  <si>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</si>
  <si>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</si>
  <si>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</si>
  <si>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</si>
  <si>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</si>
  <si>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</si>
  <si>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</si>
  <si>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</si>
  <si>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</si>
  <si>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</si>
  <si>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</si>
  <si>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</si>
  <si>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</si>
  <si>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</si>
  <si>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</si>
  <si>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</si>
  <si>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</si>
  <si>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</si>
  <si>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</si>
  <si>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</si>
  <si>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</si>
  <si>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</si>
  <si>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</si>
  <si>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</si>
  <si>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</si>
  <si>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</si>
  <si>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</si>
  <si>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</si>
  <si>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</si>
  <si>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</si>
  <si>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</si>
  <si>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</si>
  <si>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</si>
  <si>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</si>
  <si>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</si>
  <si>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</si>
  <si>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</si>
  <si>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</si>
  <si>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</si>
  <si>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</si>
  <si>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</si>
  <si>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</si>
  <si>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</si>
  <si>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</si>
  <si>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</si>
  <si>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</si>
  <si>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</si>
  <si>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</si>
  <si>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</si>
  <si>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</si>
  <si>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</si>
  <si>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</si>
  <si>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</si>
  <si>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</si>
  <si>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</si>
  <si>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</si>
  <si>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</si>
  <si>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</si>
  <si>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</si>
  <si>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</si>
  <si>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</si>
  <si>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</si>
  <si>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</si>
  <si>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</si>
  <si>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</si>
  <si>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</si>
  <si>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</si>
  <si>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</si>
  <si>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</si>
  <si>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</si>
  <si>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</si>
  <si>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</si>
  <si>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</si>
  <si>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</si>
  <si>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</si>
  <si>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</si>
  <si>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</si>
  <si>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</si>
  <si>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</si>
  <si>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</si>
  <si>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</si>
  <si>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</si>
  <si>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</si>
  <si>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</si>
  <si>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</si>
  <si>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</si>
  <si>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</si>
  <si>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</si>
  <si>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</si>
  <si>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</si>
  <si>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</si>
  <si>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</si>
  <si>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</si>
  <si>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</si>
  <si>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</si>
  <si>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</si>
  <si>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</si>
  <si>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</si>
  <si>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</si>
  <si>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</si>
  <si>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</si>
  <si>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</si>
  <si>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</si>
  <si>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</si>
  <si>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</si>
  <si>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</si>
  <si>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</si>
  <si>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</si>
  <si>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.</t>
  </si>
  <si>
    <t>1/11</t>
  </si>
  <si>
    <t>1/32</t>
  </si>
  <si>
    <t>audit and close out entries from PY</t>
  </si>
  <si>
    <t>Lebanon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</si>
</sst>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1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916</v>
      </c>
      <c r="B2" s="21">
        <v>295</v>
      </c>
      <c r="C2" s="21">
        <v>295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f>1071165.43+558695.4</f>
        <v>1629860.83</v>
      </c>
      <c r="G9" s="18"/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>
        <f>1416834.74</f>
        <v>1416834.74</v>
      </c>
      <c r="G10" s="18"/>
      <c r="H10" s="18"/>
      <c r="I10" s="18"/>
      <c r="J10" s="67">
        <f>SUM(I440)</f>
        <v>2840672.21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/>
      <c r="G12" s="18">
        <v>25147.69</v>
      </c>
      <c r="H12" s="18">
        <f>23053.55+133891.37+2320.5+81688.27+4471.3+2488.25+750+5509.13+1891.34+2666.39+11175.27</f>
        <v>269905.37</v>
      </c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48101.58</v>
      </c>
      <c r="G13" s="18">
        <v>10632.91</v>
      </c>
      <c r="H13" s="18" t="s">
        <v>912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73792.710000000006</v>
      </c>
      <c r="G14" s="18">
        <v>7539.1</v>
      </c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>
        <v>19418.12</v>
      </c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3168589.8600000003</v>
      </c>
      <c r="G19" s="41">
        <f>SUM(G9:G18)</f>
        <v>62737.819999999992</v>
      </c>
      <c r="H19" s="41">
        <f>SUM(H9:H18)</f>
        <v>269905.37</v>
      </c>
      <c r="I19" s="41">
        <f>SUM(I9:I18)</f>
        <v>0</v>
      </c>
      <c r="J19" s="41">
        <f>SUM(J9:J18)</f>
        <v>2840672.21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23775.06</v>
      </c>
      <c r="G22" s="18">
        <v>0</v>
      </c>
      <c r="H22" s="18">
        <f>H12-H48</f>
        <v>128537.35999999999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109366.37</v>
      </c>
      <c r="G24" s="18">
        <v>188.75</v>
      </c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>
        <v>21786.34</v>
      </c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133141.43</v>
      </c>
      <c r="G32" s="41">
        <f>SUM(G22:G31)</f>
        <v>21975.09</v>
      </c>
      <c r="H32" s="41">
        <f>SUM(H22:H31)</f>
        <v>128537.35999999999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>
        <v>19418.12</v>
      </c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>
        <v>21344.61</v>
      </c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600000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v>768005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>
        <f>96141.47+45226.54</f>
        <v>141368.01</v>
      </c>
      <c r="I48" s="18"/>
      <c r="J48" s="13">
        <f>SUM(I459)</f>
        <v>2840672.21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394160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f>F19-F32-SUM(F44+F46+F49)</f>
        <v>1273283.4300000002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3035448.43</v>
      </c>
      <c r="G51" s="41">
        <f>SUM(G35:G50)</f>
        <v>40762.729999999996</v>
      </c>
      <c r="H51" s="41">
        <f>SUM(H35:H50)</f>
        <v>141368.01</v>
      </c>
      <c r="I51" s="41">
        <f>SUM(I35:I50)</f>
        <v>0</v>
      </c>
      <c r="J51" s="41">
        <f>SUM(J35:J50)</f>
        <v>2840672.21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3168589.8600000003</v>
      </c>
      <c r="G52" s="41">
        <f>G51+G32</f>
        <v>62737.819999999992</v>
      </c>
      <c r="H52" s="41">
        <f>H51+H32</f>
        <v>269905.37</v>
      </c>
      <c r="I52" s="41">
        <f>I51+I32</f>
        <v>0</v>
      </c>
      <c r="J52" s="41">
        <f>J51+J32</f>
        <v>2840672.21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26441338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>
        <v>47403.45</v>
      </c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26488741.449999999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24122.639999999999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>
        <v>400</v>
      </c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4409447.6500000004</v>
      </c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>
        <v>15761</v>
      </c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>
        <v>17685</v>
      </c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4467416.29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/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70410.47</v>
      </c>
      <c r="G96" s="18"/>
      <c r="H96" s="18"/>
      <c r="I96" s="18"/>
      <c r="J96" s="18">
        <f>40271.27-32113.14</f>
        <v>8158.1299999999974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f>98039+179992.13+17573+16945+27652.82+1736</f>
        <v>341937.95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>
        <v>1444</v>
      </c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25838.880000000001</v>
      </c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f>217083.8+2090.2</f>
        <v>219174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316867.34999999998</v>
      </c>
      <c r="G111" s="41">
        <f>SUM(G96:G110)</f>
        <v>341937.95</v>
      </c>
      <c r="H111" s="41">
        <f>SUM(H96:H110)</f>
        <v>0</v>
      </c>
      <c r="I111" s="41">
        <f>SUM(I96:I110)</f>
        <v>0</v>
      </c>
      <c r="J111" s="41">
        <f>SUM(J96:J110)</f>
        <v>8158.1299999999974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31273025.09</v>
      </c>
      <c r="G112" s="41">
        <f>G60+G111</f>
        <v>341937.95</v>
      </c>
      <c r="H112" s="41">
        <f>H60+H79+H94+H111</f>
        <v>0</v>
      </c>
      <c r="I112" s="41">
        <f>I60+I111</f>
        <v>0</v>
      </c>
      <c r="J112" s="41">
        <f>J60+J111</f>
        <v>8158.1299999999974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2064698.76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4278859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f>2222.4+14144.43</f>
        <v>16366.83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6359924.5899999999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563604.87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385195.63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>
        <v>161756.32999999999</v>
      </c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7237.48</v>
      </c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f>7512.79</f>
        <v>7512.79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1117794.31</v>
      </c>
      <c r="G136" s="41">
        <f>SUM(G123:G135)</f>
        <v>7512.79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7477718.9000000004</v>
      </c>
      <c r="G140" s="41">
        <f>G121+SUM(G136:G137)</f>
        <v>7512.79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f>17114.9+240575.54</f>
        <v>257690.44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f>101307.18+9242.51+3675.55+6219.83+4476.6+447.65+10395.92+29543.08+33457.17</f>
        <v>198765.49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>
        <f>80849.34</f>
        <v>80849.34</v>
      </c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f>157525.2+42992.16+40311.73</f>
        <v>240829.09000000003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f>57400.34+368086.23+4664.71+9242.51</f>
        <v>439393.79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230488.58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>
        <f>22095.78</f>
        <v>22095.78</v>
      </c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230488.58</v>
      </c>
      <c r="G162" s="41">
        <f>SUM(G150:G161)</f>
        <v>240829.09000000003</v>
      </c>
      <c r="H162" s="41">
        <f>SUM(H150:H161)</f>
        <v>998794.84000000008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>
        <v>3477.96</v>
      </c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233966.53999999998</v>
      </c>
      <c r="G169" s="41">
        <f>G147+G162+SUM(G163:G168)</f>
        <v>240829.09000000003</v>
      </c>
      <c r="H169" s="41">
        <f>H147+H162+SUM(H163:H168)</f>
        <v>998794.84000000008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/>
      <c r="H179" s="18"/>
      <c r="I179" s="18"/>
      <c r="J179" s="18">
        <v>300000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300000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>
        <v>569000</v>
      </c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569000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569000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300000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39553710.530000001</v>
      </c>
      <c r="G193" s="47">
        <f>G112+G140+G169+G192</f>
        <v>590279.83000000007</v>
      </c>
      <c r="H193" s="47">
        <f>H112+H140+H169+H192</f>
        <v>998794.84000000008</v>
      </c>
      <c r="I193" s="47">
        <f>I112+I140+I169+I192</f>
        <v>0</v>
      </c>
      <c r="J193" s="47">
        <f>J112+J140+J192</f>
        <v>308158.13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f>3158089.66+807446.14+117406.7</f>
        <v>4082942.5000000005</v>
      </c>
      <c r="G197" s="18">
        <f>2390806.92+17859.67</f>
        <v>2408666.59</v>
      </c>
      <c r="H197" s="18">
        <f>6610.45+1663.45</f>
        <v>8273.9</v>
      </c>
      <c r="I197" s="18">
        <f>55438.2+13691.37+859.13+26785.03+84.76</f>
        <v>96858.489999999991</v>
      </c>
      <c r="J197" s="18">
        <f>14500.07+38021.99</f>
        <v>52522.06</v>
      </c>
      <c r="K197" s="18">
        <f>13054.1</f>
        <v>13054.1</v>
      </c>
      <c r="L197" s="19">
        <f>SUM(F197:K197)</f>
        <v>6662317.6399999997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f>595424.81+340894+116420.98+569887.52</f>
        <v>1622627.31</v>
      </c>
      <c r="G198" s="18">
        <f>824443.07+96869.09</f>
        <v>921312.15999999992</v>
      </c>
      <c r="H198" s="18">
        <f>21919.96+115059.39+89581.53+49560.44</f>
        <v>276121.32</v>
      </c>
      <c r="I198" s="18">
        <f>7907.89+788.01+169.95+1014.22</f>
        <v>9880.07</v>
      </c>
      <c r="J198" s="18">
        <f>6668.63+3460.49</f>
        <v>10129.119999999999</v>
      </c>
      <c r="K198" s="18">
        <f>1031.13</f>
        <v>1031.1300000000001</v>
      </c>
      <c r="L198" s="19">
        <f>SUM(F198:K198)</f>
        <v>2841101.1099999994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f>3481.21+31536.87</f>
        <v>35018.080000000002</v>
      </c>
      <c r="G200" s="18">
        <f>6501.93+773.42</f>
        <v>7275.35</v>
      </c>
      <c r="H200" s="18"/>
      <c r="I200" s="18">
        <f>7359.74</f>
        <v>7359.74</v>
      </c>
      <c r="J200" s="18"/>
      <c r="K200" s="18"/>
      <c r="L200" s="19">
        <f>SUM(F200:K200)</f>
        <v>49653.17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f>150030+125246.33</f>
        <v>275276.33</v>
      </c>
      <c r="G202" s="18">
        <f>70638.67+54912.01</f>
        <v>125550.68</v>
      </c>
      <c r="H202" s="18">
        <f>1764.73+7795.45</f>
        <v>9560.18</v>
      </c>
      <c r="I202" s="18">
        <f>1344.39+2479.2+1301.41</f>
        <v>5125</v>
      </c>
      <c r="J202" s="18">
        <f>108.99</f>
        <v>108.99</v>
      </c>
      <c r="K202" s="18"/>
      <c r="L202" s="19">
        <f t="shared" ref="L202:L208" si="0">SUM(F202:K202)</f>
        <v>415621.18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f>25512.44+143199.02+42809.38+110331.38</f>
        <v>321852.21999999997</v>
      </c>
      <c r="G203" s="18">
        <f>6246.12+102344.2+43933.95</f>
        <v>152524.26999999999</v>
      </c>
      <c r="H203" s="18">
        <f>11017.27+6099.87+160068.09</f>
        <v>177185.22999999998</v>
      </c>
      <c r="I203" s="18">
        <f>4568.87+17876.93+20380.92+5084.75+51263.33</f>
        <v>99174.8</v>
      </c>
      <c r="J203" s="18">
        <f>1013.01+10244.52+59549.44+13183.96</f>
        <v>83990.93</v>
      </c>
      <c r="K203" s="18">
        <f>118.36</f>
        <v>118.36</v>
      </c>
      <c r="L203" s="19">
        <f t="shared" si="0"/>
        <v>834845.80999999994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f>233376.47</f>
        <v>233376.47</v>
      </c>
      <c r="G204" s="18">
        <f>113599.26</f>
        <v>113599.26</v>
      </c>
      <c r="H204" s="18">
        <f>102197.71</f>
        <v>102197.71</v>
      </c>
      <c r="I204" s="18">
        <f>21125.68</f>
        <v>21125.68</v>
      </c>
      <c r="J204" s="18">
        <f>20.89</f>
        <v>20.89</v>
      </c>
      <c r="K204" s="18">
        <f>3643.88</f>
        <v>3643.88</v>
      </c>
      <c r="L204" s="19">
        <f t="shared" si="0"/>
        <v>473963.89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f>179064.19+140119.69+128768.63+3349.2</f>
        <v>451301.71</v>
      </c>
      <c r="G205" s="18">
        <f>216443.27+273.33</f>
        <v>216716.59999999998</v>
      </c>
      <c r="H205" s="18">
        <f>500+34546.38+8640.85+11030.79+2611.14+251.14</f>
        <v>57580.299999999996</v>
      </c>
      <c r="I205" s="18">
        <f>7013.1</f>
        <v>7013.1</v>
      </c>
      <c r="J205" s="18">
        <f>1741.33</f>
        <v>1741.33</v>
      </c>
      <c r="K205" s="18">
        <f>2277.82</f>
        <v>2277.8200000000002</v>
      </c>
      <c r="L205" s="19">
        <f t="shared" si="0"/>
        <v>736630.86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f>220556.51+159104.56</f>
        <v>379661.07</v>
      </c>
      <c r="G207" s="18">
        <f>143474.23+92209.85</f>
        <v>235684.08000000002</v>
      </c>
      <c r="H207" s="18">
        <f>16378.98+4970.51+2493.13+870.8+66894.6+76355.76+58920.07</f>
        <v>226883.85</v>
      </c>
      <c r="I207" s="18">
        <f>34816.32+50661.61+2693.85+38816+19531.3+13565.24</f>
        <v>160084.31999999998</v>
      </c>
      <c r="J207" s="18">
        <f>1647+625.48</f>
        <v>2272.48</v>
      </c>
      <c r="K207" s="18">
        <f>517.11</f>
        <v>517.11</v>
      </c>
      <c r="L207" s="19">
        <f t="shared" si="0"/>
        <v>1005102.9099999999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f>5701.32+140228.59+0.32</f>
        <v>145930.23000000001</v>
      </c>
      <c r="G208" s="18">
        <f>413.58+34578.79</f>
        <v>34992.370000000003</v>
      </c>
      <c r="H208" s="18">
        <f>750+147517.43</f>
        <v>148267.43</v>
      </c>
      <c r="I208" s="18">
        <f>31343.6</f>
        <v>31343.599999999999</v>
      </c>
      <c r="J208" s="18">
        <f>627.42</f>
        <v>627.41999999999996</v>
      </c>
      <c r="K208" s="18">
        <f>181.2</f>
        <v>181.2</v>
      </c>
      <c r="L208" s="19">
        <f t="shared" si="0"/>
        <v>361342.25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7547985.9200000009</v>
      </c>
      <c r="G211" s="41">
        <f t="shared" si="1"/>
        <v>4216321.3600000003</v>
      </c>
      <c r="H211" s="41">
        <f t="shared" si="1"/>
        <v>1006069.9199999999</v>
      </c>
      <c r="I211" s="41">
        <f t="shared" si="1"/>
        <v>437964.79999999993</v>
      </c>
      <c r="J211" s="41">
        <f t="shared" si="1"/>
        <v>151413.22</v>
      </c>
      <c r="K211" s="41">
        <f t="shared" si="1"/>
        <v>20823.600000000002</v>
      </c>
      <c r="L211" s="41">
        <f t="shared" si="1"/>
        <v>13380578.82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f>2814611.27+13747.68+99743.75</f>
        <v>2928102.7</v>
      </c>
      <c r="G215" s="18">
        <f>1495418.86+15172.82</f>
        <v>1510591.6800000002</v>
      </c>
      <c r="H215" s="18">
        <f>4292.5+1582+8919.6+1413.2</f>
        <v>16207.300000000001</v>
      </c>
      <c r="I215" s="18">
        <f>52569.71+22227.9+3585.68+6306.35+72.01</f>
        <v>84761.65</v>
      </c>
      <c r="J215" s="18">
        <f>13872.75+7512.47</f>
        <v>21385.22</v>
      </c>
      <c r="K215" s="18">
        <f>11045.98</f>
        <v>11045.98</v>
      </c>
      <c r="L215" s="19">
        <f>SUM(F215:K215)</f>
        <v>4572094.5300000012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f>298659.55+137137.5+456118.32+98906.32</f>
        <v>990821.69</v>
      </c>
      <c r="G216" s="18">
        <f>606465.5+82295.86</f>
        <v>688761.36</v>
      </c>
      <c r="H216" s="18">
        <f>34478+38825.07+150201.6+42104.44</f>
        <v>265609.11</v>
      </c>
      <c r="I216" s="18">
        <f>7676.7+1968.15+3390.18+861.64</f>
        <v>13896.67</v>
      </c>
      <c r="J216" s="18">
        <f>1605+2939.89</f>
        <v>4544.8899999999994</v>
      </c>
      <c r="K216" s="18">
        <f>20.61+876</f>
        <v>896.61</v>
      </c>
      <c r="L216" s="19">
        <f>SUM(F216:K216)</f>
        <v>1964530.3299999996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f>25000+15267+30212+14735.56+21600+4500+2957.49</f>
        <v>114272.05</v>
      </c>
      <c r="G218" s="18">
        <f>3760.86+5375.43+657.06</f>
        <v>9793.35</v>
      </c>
      <c r="H218" s="18">
        <f>11148.18+204+51.5</f>
        <v>11403.68</v>
      </c>
      <c r="I218" s="18">
        <f>7215.34+6252.52</f>
        <v>13467.86</v>
      </c>
      <c r="J218" s="18">
        <f>1396.21</f>
        <v>1396.21</v>
      </c>
      <c r="K218" s="18">
        <f>455</f>
        <v>455</v>
      </c>
      <c r="L218" s="19">
        <f>SUM(F218:K218)</f>
        <v>150788.15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f>135403+79585</f>
        <v>214988</v>
      </c>
      <c r="G220" s="18">
        <f>74888.7+50433.11</f>
        <v>125321.81</v>
      </c>
      <c r="H220" s="18">
        <f>43573.75+4050.67+6622.68</f>
        <v>54247.1</v>
      </c>
      <c r="I220" s="18">
        <f>305.42+120.74+1774.96+1105.62</f>
        <v>3306.74</v>
      </c>
      <c r="J220" s="18"/>
      <c r="K220" s="18">
        <f>258</f>
        <v>258</v>
      </c>
      <c r="L220" s="19">
        <f t="shared" ref="L220:L226" si="2">SUM(F220:K220)</f>
        <v>398121.64999999997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f>10611.2+60994+30383.09+93732.85</f>
        <v>195721.14</v>
      </c>
      <c r="G221" s="18">
        <f>2956.54+37324.42+43859.19</f>
        <v>84140.15</v>
      </c>
      <c r="H221" s="18">
        <f>6236.61+135987.05</f>
        <v>142223.65999999997</v>
      </c>
      <c r="I221" s="18">
        <f>2740.8+11431.49+5526.45+4263.36+43551.15</f>
        <v>67513.25</v>
      </c>
      <c r="J221" s="18">
        <f>42927+11200.53</f>
        <v>54127.53</v>
      </c>
      <c r="K221" s="18">
        <f>100.55</f>
        <v>100.55</v>
      </c>
      <c r="L221" s="19">
        <f t="shared" si="2"/>
        <v>543826.28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f>198266.74</f>
        <v>198266.74</v>
      </c>
      <c r="G222" s="18">
        <f>96509.1</f>
        <v>96509.1</v>
      </c>
      <c r="H222" s="18">
        <f>86822.83</f>
        <v>86822.83</v>
      </c>
      <c r="I222" s="18">
        <f>17947.48</f>
        <v>17947.48</v>
      </c>
      <c r="J222" s="18">
        <f>17.74</f>
        <v>17.739999999999998</v>
      </c>
      <c r="K222" s="18">
        <f>3095.69</f>
        <v>3095.69</v>
      </c>
      <c r="L222" s="19">
        <f t="shared" si="2"/>
        <v>402659.57999999996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f>90058+158523.76+100839.74+2845.34</f>
        <v>352266.84</v>
      </c>
      <c r="G223" s="18">
        <f>203659.61+232.21</f>
        <v>203891.81999999998</v>
      </c>
      <c r="H223" s="18">
        <f>2004.88+14767.68+587.99+8844.31+5909.39+5116.55+2448.72</f>
        <v>39679.520000000004</v>
      </c>
      <c r="I223" s="18">
        <f>8857.6</f>
        <v>8857.6</v>
      </c>
      <c r="J223" s="18">
        <f>900</f>
        <v>900</v>
      </c>
      <c r="K223" s="18">
        <f>2507.59</f>
        <v>2507.59</v>
      </c>
      <c r="L223" s="19">
        <f t="shared" si="2"/>
        <v>608103.37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f>177263.77+135168.82</f>
        <v>312432.58999999997</v>
      </c>
      <c r="G225" s="18">
        <f>103814.65+78337.57</f>
        <v>182152.22</v>
      </c>
      <c r="H225" s="18">
        <f>10126+7809.42+2794.21+13949.79+82444.07+50055.99</f>
        <v>167179.48000000001</v>
      </c>
      <c r="I225" s="18">
        <f>25551.88+89168.37+2005.07+37086.68+11524.45</f>
        <v>165336.45000000001</v>
      </c>
      <c r="J225" s="18">
        <f>952.5+531.38</f>
        <v>1483.88</v>
      </c>
      <c r="K225" s="18">
        <f>439.31</f>
        <v>439.31</v>
      </c>
      <c r="L225" s="19">
        <f t="shared" si="2"/>
        <v>829023.93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>
        <f>3949.11+5789.44+119132.25+293.92</f>
        <v>129164.72</v>
      </c>
      <c r="G226" s="18">
        <f>417.21+29376.67</f>
        <v>29793.879999999997</v>
      </c>
      <c r="H226" s="18">
        <f>10397+125324.79</f>
        <v>135721.78999999998</v>
      </c>
      <c r="I226" s="18">
        <f>26628.19</f>
        <v>26628.19</v>
      </c>
      <c r="J226" s="18">
        <f>533.03</f>
        <v>533.03</v>
      </c>
      <c r="K226" s="18">
        <f>153.94</f>
        <v>153.94</v>
      </c>
      <c r="L226" s="19">
        <f t="shared" si="2"/>
        <v>321995.55000000005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5436036.4699999988</v>
      </c>
      <c r="G229" s="41">
        <f>SUM(G215:G228)</f>
        <v>2930955.37</v>
      </c>
      <c r="H229" s="41">
        <f>SUM(H215:H228)</f>
        <v>919094.47</v>
      </c>
      <c r="I229" s="41">
        <f>SUM(I215:I228)</f>
        <v>401715.89</v>
      </c>
      <c r="J229" s="41">
        <f>SUM(J215:J228)</f>
        <v>84388.500000000015</v>
      </c>
      <c r="K229" s="41">
        <f t="shared" si="3"/>
        <v>18952.669999999998</v>
      </c>
      <c r="L229" s="41">
        <f t="shared" si="3"/>
        <v>9791143.3700000029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f>3228067.35+47552.35+120108.09</f>
        <v>3395727.79</v>
      </c>
      <c r="G233" s="18">
        <f>1788481.83+18270.6</f>
        <v>1806752.4300000002</v>
      </c>
      <c r="H233" s="18">
        <f>10519.37+9189.58+3871+1701.72</f>
        <v>25281.670000000002</v>
      </c>
      <c r="I233" s="18">
        <f>87054.34+49962.76+5482.61+86.71</f>
        <v>142586.41999999998</v>
      </c>
      <c r="J233" s="18">
        <f>50478.28+28197.57</f>
        <v>78675.850000000006</v>
      </c>
      <c r="K233" s="18">
        <f>10596.23</f>
        <v>10596.23</v>
      </c>
      <c r="L233" s="19">
        <f>SUM(F233:K233)</f>
        <v>5459620.3900000006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f>345217.11+108743+179441.3+119099.7</f>
        <v>752501.10999999987</v>
      </c>
      <c r="G234" s="18">
        <f>423102.07+99097.93</f>
        <v>522200</v>
      </c>
      <c r="H234" s="18">
        <f>45569.22+145934.79+950494.11+50700.76</f>
        <v>1192698.8800000001</v>
      </c>
      <c r="I234" s="18">
        <f>5028.32+512.45+990+1037.55</f>
        <v>7568.32</v>
      </c>
      <c r="J234" s="18">
        <f>6080.32+3540.12</f>
        <v>9620.4399999999987</v>
      </c>
      <c r="K234" s="18">
        <f>418.89+1054.86</f>
        <v>1473.75</v>
      </c>
      <c r="L234" s="19">
        <f>SUM(F234:K234)</f>
        <v>2486062.5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>
        <f>458539.4+24415</f>
        <v>482954.4</v>
      </c>
      <c r="I235" s="18"/>
      <c r="J235" s="18"/>
      <c r="K235" s="18"/>
      <c r="L235" s="19">
        <f>SUM(F235:K235)</f>
        <v>482954.4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f>84050+55197+189500.18+19380.37+55009+3561.31</f>
        <v>406697.86</v>
      </c>
      <c r="G236" s="18">
        <f>71747.44+4596.66+791.21</f>
        <v>77135.310000000012</v>
      </c>
      <c r="H236" s="18">
        <f>95424.94+204+2027.16</f>
        <v>97656.1</v>
      </c>
      <c r="I236" s="18">
        <f>50598.79+7529.08</f>
        <v>58127.87</v>
      </c>
      <c r="J236" s="18">
        <f>5223.8</f>
        <v>5223.8</v>
      </c>
      <c r="K236" s="18">
        <f>42435.18</f>
        <v>42435.18</v>
      </c>
      <c r="L236" s="19">
        <f>SUM(F236:K236)</f>
        <v>687276.12000000011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f>361560.66+37346.82+55113</f>
        <v>454020.48</v>
      </c>
      <c r="G238" s="18">
        <f>241450.43+16834.11</f>
        <v>258284.53999999998</v>
      </c>
      <c r="H238" s="18">
        <f>800+3744+7974.82</f>
        <v>12518.82</v>
      </c>
      <c r="I238" s="18">
        <f>3084.44+58.02+2525.99+2331.04+1331.36</f>
        <v>9330.85</v>
      </c>
      <c r="J238" s="18">
        <f>452.35</f>
        <v>452.35</v>
      </c>
      <c r="K238" s="18">
        <f>1737</f>
        <v>1737</v>
      </c>
      <c r="L238" s="19">
        <f t="shared" ref="L238:L244" si="4">SUM(F238:K238)</f>
        <v>736344.03999999992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f>86151.25+16962.61+79585+18175.49+112869.97</f>
        <v>313744.31999999995</v>
      </c>
      <c r="G239" s="18">
        <f>47529.91+57999.46+44944.82</f>
        <v>150474.19</v>
      </c>
      <c r="H239" s="18">
        <f>1599.66+163751.08</f>
        <v>165350.74</v>
      </c>
      <c r="I239" s="18">
        <f>4171.66+12199.42+10500+3025.53+52442.84</f>
        <v>82339.45</v>
      </c>
      <c r="J239" s="18">
        <f>2000+2000+52401.59+13487.31</f>
        <v>69888.899999999994</v>
      </c>
      <c r="K239" s="18">
        <f>121.08</f>
        <v>121.08</v>
      </c>
      <c r="L239" s="19">
        <f t="shared" si="4"/>
        <v>781918.67999999993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f>238746.2</f>
        <v>238746.2</v>
      </c>
      <c r="G240" s="18">
        <f>116213.05</f>
        <v>116213.05</v>
      </c>
      <c r="H240" s="18">
        <f>104549.16</f>
        <v>104549.16</v>
      </c>
      <c r="I240" s="18">
        <f>21611.76</f>
        <v>21611.759999999998</v>
      </c>
      <c r="J240" s="18">
        <f>21.37</f>
        <v>21.37</v>
      </c>
      <c r="K240" s="18">
        <f>3727.73</f>
        <v>3727.73</v>
      </c>
      <c r="L240" s="19">
        <f t="shared" si="4"/>
        <v>484869.27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f>99809.38+84963.75+160086.52+3426.26</f>
        <v>348285.91000000003</v>
      </c>
      <c r="G241" s="18">
        <f>188808.75+279.62</f>
        <v>189088.37</v>
      </c>
      <c r="H241" s="18">
        <f>6798.31+22950.95+5542.18+7828.22+8973.41+10636.37</f>
        <v>62729.44000000001</v>
      </c>
      <c r="I241" s="18">
        <f>34100.52+36050.5+81654.42+9237.38+76865.58</f>
        <v>237908.40000000002</v>
      </c>
      <c r="J241" s="18">
        <f>4953.88</f>
        <v>4953.88</v>
      </c>
      <c r="K241" s="18">
        <f>5452</f>
        <v>5452</v>
      </c>
      <c r="L241" s="19">
        <f t="shared" si="4"/>
        <v>848418.00000000012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f>183686.11+162765.79</f>
        <v>346451.9</v>
      </c>
      <c r="G243" s="18">
        <f>142916.25+94331.49</f>
        <v>237247.74</v>
      </c>
      <c r="H243" s="18">
        <f>20982.48+6121.9+3159.1+1510+13488.53+143473.93+60275.75</f>
        <v>249011.69</v>
      </c>
      <c r="I243" s="18">
        <f>13877.36</f>
        <v>13877.36</v>
      </c>
      <c r="J243" s="18">
        <f>1017.5+639.87</f>
        <v>1657.37</v>
      </c>
      <c r="K243" s="18">
        <f>529.01</f>
        <v>529.01</v>
      </c>
      <c r="L243" s="19">
        <f t="shared" si="4"/>
        <v>848775.07000000007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>
        <f>13085.64+32101.02+5318.29+143455.08-293.92</f>
        <v>193666.11</v>
      </c>
      <c r="G244" s="18">
        <f>1192.8+394.3+35374.41</f>
        <v>36961.51</v>
      </c>
      <c r="H244" s="18">
        <f>17349+63480.95+5973+150911.94</f>
        <v>237714.89</v>
      </c>
      <c r="I244" s="18">
        <f>32064.78</f>
        <v>32064.78</v>
      </c>
      <c r="J244" s="18">
        <f>641.85</f>
        <v>641.85</v>
      </c>
      <c r="K244" s="18">
        <f>185.37</f>
        <v>185.37</v>
      </c>
      <c r="L244" s="19">
        <f t="shared" si="4"/>
        <v>501234.51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6449841.6800000016</v>
      </c>
      <c r="G247" s="41">
        <f t="shared" si="5"/>
        <v>3394357.1399999997</v>
      </c>
      <c r="H247" s="41">
        <f t="shared" si="5"/>
        <v>2630465.7900000005</v>
      </c>
      <c r="I247" s="41">
        <f t="shared" si="5"/>
        <v>605415.21000000008</v>
      </c>
      <c r="J247" s="41">
        <f t="shared" si="5"/>
        <v>171135.81000000003</v>
      </c>
      <c r="K247" s="41">
        <f t="shared" si="5"/>
        <v>66257.349999999991</v>
      </c>
      <c r="L247" s="41">
        <f t="shared" si="5"/>
        <v>13317472.979999999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>
        <v>319000</v>
      </c>
      <c r="I255" s="18"/>
      <c r="J255" s="18"/>
      <c r="K255" s="18"/>
      <c r="L255" s="19">
        <f t="shared" si="6"/>
        <v>319000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319000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319000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19433864.07</v>
      </c>
      <c r="G257" s="41">
        <f t="shared" si="8"/>
        <v>10541633.870000001</v>
      </c>
      <c r="H257" s="41">
        <f t="shared" si="8"/>
        <v>4874630.1800000006</v>
      </c>
      <c r="I257" s="41">
        <f t="shared" si="8"/>
        <v>1445095.9</v>
      </c>
      <c r="J257" s="41">
        <f t="shared" si="8"/>
        <v>406937.53</v>
      </c>
      <c r="K257" s="41">
        <f t="shared" si="8"/>
        <v>106033.62</v>
      </c>
      <c r="L257" s="41">
        <f t="shared" si="8"/>
        <v>36808195.170000002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1185000</v>
      </c>
      <c r="L260" s="19">
        <f>SUM(F260:K260)</f>
        <v>1185000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720000</v>
      </c>
      <c r="L261" s="19">
        <f>SUM(F261:K261)</f>
        <v>720000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/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300000</v>
      </c>
      <c r="L266" s="19">
        <f t="shared" si="9"/>
        <v>300000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2205000</v>
      </c>
      <c r="L270" s="41">
        <f t="shared" si="9"/>
        <v>2205000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19433864.07</v>
      </c>
      <c r="G271" s="42">
        <f t="shared" si="11"/>
        <v>10541633.870000001</v>
      </c>
      <c r="H271" s="42">
        <f t="shared" si="11"/>
        <v>4874630.1800000006</v>
      </c>
      <c r="I271" s="42">
        <f t="shared" si="11"/>
        <v>1445095.9</v>
      </c>
      <c r="J271" s="42">
        <f t="shared" si="11"/>
        <v>406937.53</v>
      </c>
      <c r="K271" s="42">
        <f t="shared" si="11"/>
        <v>2311033.62</v>
      </c>
      <c r="L271" s="42">
        <f t="shared" si="11"/>
        <v>39013195.170000002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f>189316.18+4560</f>
        <v>193876.18</v>
      </c>
      <c r="G276" s="18">
        <f>1117.06+14440.92+32865.2+889.78-13048.84</f>
        <v>36264.119999999995</v>
      </c>
      <c r="H276" s="18"/>
      <c r="I276" s="18">
        <f>239.16+30.85+1901.41+6738.61</f>
        <v>8910.0299999999988</v>
      </c>
      <c r="J276" s="18">
        <f>713.52</f>
        <v>713.52</v>
      </c>
      <c r="K276" s="18"/>
      <c r="L276" s="19">
        <f>SUM(F276:K276)</f>
        <v>239763.84999999998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f>66462.13+8548.39</f>
        <v>75010.52</v>
      </c>
      <c r="G277" s="18">
        <f>653.94+40.18</f>
        <v>694.12</v>
      </c>
      <c r="H277" s="18">
        <f>31964.66+35946.34+5934.74</f>
        <v>73845.740000000005</v>
      </c>
      <c r="I277" s="18">
        <f>2403.69+193.41</f>
        <v>2597.1</v>
      </c>
      <c r="J277" s="18">
        <f>13296.95+4471.3</f>
        <v>17768.25</v>
      </c>
      <c r="K277" s="18"/>
      <c r="L277" s="19">
        <f>SUM(F277:K277)</f>
        <v>169915.73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f>2070.62+10719.42+2000</f>
        <v>14790.04</v>
      </c>
      <c r="G279" s="18">
        <f>468.14+1067.23+238.41+992.89+59.78</f>
        <v>2826.4500000000003</v>
      </c>
      <c r="H279" s="18">
        <f>616.6</f>
        <v>616.6</v>
      </c>
      <c r="I279" s="18">
        <f>64.48+657.36+44.99</f>
        <v>766.83</v>
      </c>
      <c r="J279" s="18"/>
      <c r="K279" s="18"/>
      <c r="L279" s="19">
        <f>SUM(F279:K279)</f>
        <v>18999.920000000002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>
        <f>19.22</f>
        <v>19.22</v>
      </c>
      <c r="J281" s="18"/>
      <c r="K281" s="18"/>
      <c r="L281" s="19">
        <f t="shared" ref="L281:L287" si="12">SUM(F281:K281)</f>
        <v>19.22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f>123.71</f>
        <v>123.71</v>
      </c>
      <c r="G282" s="18">
        <f>17204.58+32.13</f>
        <v>17236.710000000003</v>
      </c>
      <c r="H282" s="18">
        <f>20166.83+7561.28+11572.18+1050</f>
        <v>40350.29</v>
      </c>
      <c r="I282" s="18">
        <f>188.67+471.44+189.48</f>
        <v>849.59</v>
      </c>
      <c r="J282" s="18"/>
      <c r="K282" s="18"/>
      <c r="L282" s="19">
        <f t="shared" si="12"/>
        <v>58560.3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>
        <f>68.44+885.33+2008.94+54.39</f>
        <v>3017.1</v>
      </c>
      <c r="H283" s="18">
        <f>1137.64+1143.78</f>
        <v>2281.42</v>
      </c>
      <c r="I283" s="18"/>
      <c r="J283" s="18"/>
      <c r="K283" s="18"/>
      <c r="L283" s="19">
        <f t="shared" si="12"/>
        <v>5298.52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>
        <f>677.36</f>
        <v>677.36</v>
      </c>
      <c r="G287" s="18">
        <f>51.82+3.18</f>
        <v>55</v>
      </c>
      <c r="H287" s="18"/>
      <c r="I287" s="18"/>
      <c r="J287" s="18"/>
      <c r="K287" s="18"/>
      <c r="L287" s="19">
        <f t="shared" si="12"/>
        <v>732.36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284477.81</v>
      </c>
      <c r="G290" s="42">
        <f t="shared" si="13"/>
        <v>60093.499999999993</v>
      </c>
      <c r="H290" s="42">
        <f t="shared" si="13"/>
        <v>117094.05</v>
      </c>
      <c r="I290" s="42">
        <f t="shared" si="13"/>
        <v>13142.769999999999</v>
      </c>
      <c r="J290" s="42">
        <f t="shared" si="13"/>
        <v>18481.77</v>
      </c>
      <c r="K290" s="42">
        <f t="shared" si="13"/>
        <v>0</v>
      </c>
      <c r="L290" s="41">
        <f t="shared" si="13"/>
        <v>493289.89999999991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>
        <f>203.18+302.44</f>
        <v>505.62</v>
      </c>
      <c r="J295" s="18">
        <f>606.18</f>
        <v>606.17999999999995</v>
      </c>
      <c r="K295" s="18">
        <f>794.4</f>
        <v>794.4</v>
      </c>
      <c r="L295" s="19">
        <f>SUM(F295:K295)</f>
        <v>1906.1999999999998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>
        <f>56463.41</f>
        <v>56463.41</v>
      </c>
      <c r="G296" s="18"/>
      <c r="H296" s="18">
        <f>27155.82</f>
        <v>27155.82</v>
      </c>
      <c r="I296" s="18">
        <f>2042.07</f>
        <v>2042.07</v>
      </c>
      <c r="J296" s="18"/>
      <c r="K296" s="18"/>
      <c r="L296" s="19">
        <f>SUM(F296:K296)</f>
        <v>85661.300000000017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>
        <f>1759.11</f>
        <v>1759.11</v>
      </c>
      <c r="G298" s="18">
        <f>397.71</f>
        <v>397.71</v>
      </c>
      <c r="H298" s="18">
        <f>6983.75+2800</f>
        <v>9783.75</v>
      </c>
      <c r="I298" s="18">
        <f>54.78+200</f>
        <v>254.78</v>
      </c>
      <c r="J298" s="18"/>
      <c r="K298" s="18"/>
      <c r="L298" s="19">
        <f>SUM(F298:K298)</f>
        <v>12195.35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>
        <f>16.33</f>
        <v>16.329999999999998</v>
      </c>
      <c r="J300" s="18"/>
      <c r="K300" s="18"/>
      <c r="L300" s="19">
        <f t="shared" ref="L300:L306" si="14">SUM(F300:K300)</f>
        <v>16.329999999999998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>
        <f>105.1</f>
        <v>105.1</v>
      </c>
      <c r="G301" s="18">
        <f>14616.28+27.29</f>
        <v>14643.570000000002</v>
      </c>
      <c r="H301" s="18">
        <f>17132.88+6423.74+1595+900</f>
        <v>26051.620000000003</v>
      </c>
      <c r="I301" s="18">
        <f>160.28+400.52+162.41</f>
        <v>723.20999999999992</v>
      </c>
      <c r="J301" s="18"/>
      <c r="K301" s="18"/>
      <c r="L301" s="19">
        <f t="shared" si="14"/>
        <v>41523.500000000007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>
        <f>966.49+980.38</f>
        <v>1946.87</v>
      </c>
      <c r="I302" s="18"/>
      <c r="J302" s="18"/>
      <c r="K302" s="18"/>
      <c r="L302" s="19">
        <f t="shared" si="14"/>
        <v>1946.87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58327.62</v>
      </c>
      <c r="G309" s="42">
        <f t="shared" si="15"/>
        <v>15041.28</v>
      </c>
      <c r="H309" s="42">
        <f t="shared" si="15"/>
        <v>64938.060000000005</v>
      </c>
      <c r="I309" s="42">
        <f t="shared" si="15"/>
        <v>3542.01</v>
      </c>
      <c r="J309" s="42">
        <f t="shared" si="15"/>
        <v>606.17999999999995</v>
      </c>
      <c r="K309" s="42">
        <f t="shared" si="15"/>
        <v>794.4</v>
      </c>
      <c r="L309" s="41">
        <f t="shared" si="15"/>
        <v>143249.55000000002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>
        <f>3805.22</f>
        <v>3805.22</v>
      </c>
      <c r="I314" s="18">
        <f>244.67+7816.15+70.49</f>
        <v>8131.3099999999995</v>
      </c>
      <c r="J314" s="18">
        <f>8729.94</f>
        <v>8729.94</v>
      </c>
      <c r="K314" s="18">
        <f>25854.93</f>
        <v>25854.93</v>
      </c>
      <c r="L314" s="19">
        <f>SUM(F314:K314)</f>
        <v>46521.4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>
        <f>67991.35+5429.78+21654.6</f>
        <v>95075.73000000001</v>
      </c>
      <c r="G315" s="18">
        <f>410.4+25.52+127.68+1535.7+2464.28+101.76</f>
        <v>4665.34</v>
      </c>
      <c r="H315" s="18">
        <f>32700.13+4900</f>
        <v>37600.130000000005</v>
      </c>
      <c r="I315" s="18">
        <f>2459</f>
        <v>2459</v>
      </c>
      <c r="J315" s="18"/>
      <c r="K315" s="18"/>
      <c r="L315" s="19">
        <f>SUM(F315:K315)</f>
        <v>139800.20000000001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>
        <f>2118.26</f>
        <v>2118.2600000000002</v>
      </c>
      <c r="G317" s="18">
        <f>478.91</f>
        <v>478.91</v>
      </c>
      <c r="H317" s="18"/>
      <c r="I317" s="18">
        <f>65.96+11360.88</f>
        <v>11426.839999999998</v>
      </c>
      <c r="J317" s="18"/>
      <c r="K317" s="18">
        <f>9407.4</f>
        <v>9407.4</v>
      </c>
      <c r="L317" s="19">
        <f>SUM(F317:K317)</f>
        <v>23431.409999999996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>
        <f>1760</f>
        <v>1760</v>
      </c>
      <c r="G319" s="18">
        <f>129.71+101.86+150.18</f>
        <v>381.75</v>
      </c>
      <c r="H319" s="18"/>
      <c r="I319" s="18">
        <f>19.66</f>
        <v>19.66</v>
      </c>
      <c r="J319" s="18">
        <f>19138</f>
        <v>19138</v>
      </c>
      <c r="K319" s="18"/>
      <c r="L319" s="19">
        <f t="shared" ref="L319:L325" si="16">SUM(F319:K319)</f>
        <v>21299.41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>
        <f>126.55</f>
        <v>126.55</v>
      </c>
      <c r="G320" s="18">
        <f>17600.44+32.87</f>
        <v>17633.309999999998</v>
      </c>
      <c r="H320" s="18">
        <f>20630.84+7735.25+1050</f>
        <v>29416.09</v>
      </c>
      <c r="I320" s="18">
        <f>193.01+482.29+194.89</f>
        <v>870.18999999999994</v>
      </c>
      <c r="J320" s="18"/>
      <c r="K320" s="18"/>
      <c r="L320" s="19">
        <f t="shared" si="16"/>
        <v>48046.14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>
        <f>1163.81+1143.78</f>
        <v>2307.59</v>
      </c>
      <c r="I321" s="18"/>
      <c r="J321" s="18"/>
      <c r="K321" s="18"/>
      <c r="L321" s="19">
        <f t="shared" si="16"/>
        <v>2307.59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99080.540000000008</v>
      </c>
      <c r="G328" s="42">
        <f t="shared" si="17"/>
        <v>23159.309999999998</v>
      </c>
      <c r="H328" s="42">
        <f t="shared" si="17"/>
        <v>73129.03</v>
      </c>
      <c r="I328" s="42">
        <f t="shared" si="17"/>
        <v>22906.999999999996</v>
      </c>
      <c r="J328" s="42">
        <f t="shared" si="17"/>
        <v>27867.940000000002</v>
      </c>
      <c r="K328" s="42">
        <f t="shared" si="17"/>
        <v>35262.33</v>
      </c>
      <c r="L328" s="41">
        <f t="shared" si="17"/>
        <v>281406.15000000002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>
        <f>44670</f>
        <v>44670</v>
      </c>
      <c r="G333" s="18">
        <f>25641.44</f>
        <v>25641.439999999999</v>
      </c>
      <c r="H333" s="18">
        <f>2389.01</f>
        <v>2389.0100000000002</v>
      </c>
      <c r="I333" s="18">
        <f>4775.33</f>
        <v>4775.33</v>
      </c>
      <c r="J333" s="18">
        <f>1079</f>
        <v>1079</v>
      </c>
      <c r="K333" s="18">
        <f>169+2125.56</f>
        <v>2294.56</v>
      </c>
      <c r="L333" s="19">
        <f t="shared" si="18"/>
        <v>80849.34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44670</v>
      </c>
      <c r="G337" s="41">
        <f t="shared" si="19"/>
        <v>25641.439999999999</v>
      </c>
      <c r="H337" s="41">
        <f t="shared" si="19"/>
        <v>2389.0100000000002</v>
      </c>
      <c r="I337" s="41">
        <f t="shared" si="19"/>
        <v>4775.33</v>
      </c>
      <c r="J337" s="41">
        <f t="shared" si="19"/>
        <v>1079</v>
      </c>
      <c r="K337" s="41">
        <f t="shared" si="19"/>
        <v>2294.56</v>
      </c>
      <c r="L337" s="41">
        <f t="shared" si="18"/>
        <v>80849.34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486555.97</v>
      </c>
      <c r="G338" s="41">
        <f t="shared" si="20"/>
        <v>123935.53</v>
      </c>
      <c r="H338" s="41">
        <f t="shared" si="20"/>
        <v>257550.15000000002</v>
      </c>
      <c r="I338" s="41">
        <f t="shared" si="20"/>
        <v>44367.11</v>
      </c>
      <c r="J338" s="41">
        <f t="shared" si="20"/>
        <v>48034.89</v>
      </c>
      <c r="K338" s="41">
        <f t="shared" si="20"/>
        <v>38351.29</v>
      </c>
      <c r="L338" s="41">
        <f t="shared" si="20"/>
        <v>998794.94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486555.97</v>
      </c>
      <c r="G352" s="41">
        <f>G338</f>
        <v>123935.53</v>
      </c>
      <c r="H352" s="41">
        <f>H338</f>
        <v>257550.15000000002</v>
      </c>
      <c r="I352" s="41">
        <f>I338</f>
        <v>44367.11</v>
      </c>
      <c r="J352" s="41">
        <f>J338</f>
        <v>48034.89</v>
      </c>
      <c r="K352" s="47">
        <f>K338+K351</f>
        <v>38351.29</v>
      </c>
      <c r="L352" s="41">
        <f>L338+L351</f>
        <v>998794.94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/>
      <c r="G358" s="18"/>
      <c r="H358" s="18">
        <f>93166.85+48.83</f>
        <v>93215.680000000008</v>
      </c>
      <c r="I358" s="18">
        <f>72866.15+4039.57+152.02+12624.93+24660.3</f>
        <v>114342.97000000002</v>
      </c>
      <c r="J358" s="18">
        <v>979.57</v>
      </c>
      <c r="K358" s="18"/>
      <c r="L358" s="13">
        <f>SUM(F358:K358)</f>
        <v>208538.22000000003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>
        <f>79857.3+41.86</f>
        <v>79899.16</v>
      </c>
      <c r="I359" s="18">
        <f>62456.7+3462.49+130.3+10821.37+21137.4</f>
        <v>98008.260000000009</v>
      </c>
      <c r="J359" s="18">
        <v>839.63</v>
      </c>
      <c r="K359" s="18"/>
      <c r="L359" s="19">
        <f>SUM(F359:K359)</f>
        <v>178747.05000000002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>
        <f>93166.85+48.83+3353.26</f>
        <v>96568.94</v>
      </c>
      <c r="I360" s="18">
        <f>72866.15+24660.3+4039.57+152.02+12624.93</f>
        <v>114342.97</v>
      </c>
      <c r="J360" s="18">
        <v>979.57</v>
      </c>
      <c r="K360" s="18"/>
      <c r="L360" s="19">
        <f>SUM(F360:K360)</f>
        <v>211891.48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269683.78000000003</v>
      </c>
      <c r="I362" s="47">
        <f t="shared" si="22"/>
        <v>326694.20000000007</v>
      </c>
      <c r="J362" s="47">
        <f t="shared" si="22"/>
        <v>2798.77</v>
      </c>
      <c r="K362" s="47">
        <f t="shared" si="22"/>
        <v>0</v>
      </c>
      <c r="L362" s="47">
        <f t="shared" si="22"/>
        <v>599176.75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f>72866.15+12624.93</f>
        <v>85491.079999999987</v>
      </c>
      <c r="G367" s="18">
        <f>62456.7+10821.37</f>
        <v>73278.069999999992</v>
      </c>
      <c r="H367" s="18">
        <f>72866.15+12624.93</f>
        <v>85491.079999999987</v>
      </c>
      <c r="I367" s="56">
        <f>SUM(F367:H367)</f>
        <v>244260.22999999995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f>I358-F367</f>
        <v>28851.890000000029</v>
      </c>
      <c r="G368" s="63">
        <f>I359-G367</f>
        <v>24730.190000000017</v>
      </c>
      <c r="H368" s="63">
        <f>I360-H367</f>
        <v>28851.890000000014</v>
      </c>
      <c r="I368" s="56">
        <f>SUM(F368:H368)</f>
        <v>82433.970000000059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114342.97000000002</v>
      </c>
      <c r="G369" s="47">
        <f>SUM(G367:G368)</f>
        <v>98008.260000000009</v>
      </c>
      <c r="H369" s="47">
        <f>SUM(H367:H368)</f>
        <v>114342.97</v>
      </c>
      <c r="I369" s="47">
        <f>SUM(I367:I368)</f>
        <v>326694.2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4"/>
      <c r="H388" s="4">
        <f>14849.88-5527.38</f>
        <v>9322.5</v>
      </c>
      <c r="I388" s="18"/>
      <c r="J388" s="24" t="s">
        <v>286</v>
      </c>
      <c r="K388" s="24" t="s">
        <v>286</v>
      </c>
      <c r="L388" s="56">
        <f t="shared" si="25"/>
        <v>9322.5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>
        <v>300000</v>
      </c>
      <c r="H389" s="18">
        <f>16801.02-19550.97</f>
        <v>-2749.9500000000007</v>
      </c>
      <c r="I389" s="18"/>
      <c r="J389" s="24" t="s">
        <v>286</v>
      </c>
      <c r="K389" s="24" t="s">
        <v>286</v>
      </c>
      <c r="L389" s="56">
        <f t="shared" si="25"/>
        <v>297250.05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300000</v>
      </c>
      <c r="H393" s="139">
        <f>SUM(H387:H392)</f>
        <v>6572.5499999999993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306572.55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>
        <f>5674.4-5463.89</f>
        <v>210.50999999999931</v>
      </c>
      <c r="I397" s="18"/>
      <c r="J397" s="24" t="s">
        <v>286</v>
      </c>
      <c r="K397" s="24" t="s">
        <v>286</v>
      </c>
      <c r="L397" s="56">
        <f t="shared" si="26"/>
        <v>210.50999999999931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>
        <f>2353.32-1073.75</f>
        <v>1279.5700000000002</v>
      </c>
      <c r="I399" s="18"/>
      <c r="J399" s="24" t="s">
        <v>286</v>
      </c>
      <c r="K399" s="24" t="s">
        <v>286</v>
      </c>
      <c r="L399" s="56">
        <f t="shared" si="26"/>
        <v>1279.5700000000002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>
        <f>592.65-497.15</f>
        <v>95.5</v>
      </c>
      <c r="I400" s="18"/>
      <c r="J400" s="24" t="s">
        <v>286</v>
      </c>
      <c r="K400" s="24" t="s">
        <v>286</v>
      </c>
      <c r="L400" s="56">
        <f t="shared" si="26"/>
        <v>95.5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1585.5799999999995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1585.5799999999995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300000</v>
      </c>
      <c r="H408" s="47">
        <f>H393+H401+H407</f>
        <v>8158.1299999999992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308158.13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>
        <f>319000+2592.5</f>
        <v>321592.5</v>
      </c>
      <c r="I414" s="18"/>
      <c r="J414" s="18"/>
      <c r="K414" s="18"/>
      <c r="L414" s="56">
        <f t="shared" si="27"/>
        <v>321592.5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>
        <v>2619.56</v>
      </c>
      <c r="I415" s="18"/>
      <c r="J415" s="18"/>
      <c r="K415" s="18"/>
      <c r="L415" s="56">
        <f t="shared" si="27"/>
        <v>2619.56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324212.06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324212.06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>
        <f>250000+906.66</f>
        <v>250906.66</v>
      </c>
      <c r="I423" s="18"/>
      <c r="J423" s="18"/>
      <c r="K423" s="18"/>
      <c r="L423" s="56">
        <f t="shared" si="29"/>
        <v>250906.66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>
        <f>432.83</f>
        <v>432.83</v>
      </c>
      <c r="I425" s="18"/>
      <c r="J425" s="18"/>
      <c r="K425" s="18"/>
      <c r="L425" s="56">
        <f t="shared" si="29"/>
        <v>432.83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>
        <f>107.57</f>
        <v>107.57</v>
      </c>
      <c r="I426" s="18"/>
      <c r="J426" s="18"/>
      <c r="K426" s="18"/>
      <c r="L426" s="56">
        <f t="shared" si="29"/>
        <v>107.57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251447.06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251447.06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575659.12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575659.12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>
        <f>1096696.46+258026.48+49864.5+1235053.04+201031.73</f>
        <v>2840672.21</v>
      </c>
      <c r="G440" s="18"/>
      <c r="H440" s="18"/>
      <c r="I440" s="56">
        <f t="shared" si="33"/>
        <v>2840672.21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2840672.21</v>
      </c>
      <c r="G446" s="13">
        <f>SUM(G439:G445)</f>
        <v>0</v>
      </c>
      <c r="H446" s="13">
        <f>SUM(H439:H445)</f>
        <v>0</v>
      </c>
      <c r="I446" s="13">
        <f>SUM(I439:I445)</f>
        <v>2840672.21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4"/>
      <c r="G454" s="18"/>
      <c r="H454" s="18"/>
      <c r="I454" s="56">
        <f t="shared" ref="I454:I458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f>F440</f>
        <v>2840672.21</v>
      </c>
      <c r="G459" s="18"/>
      <c r="H459" s="18"/>
      <c r="I459" s="56">
        <f>SUM(F459:H459)</f>
        <v>2840672.21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SUM(F455:F459)</f>
        <v>2840672.21</v>
      </c>
      <c r="G460" s="83">
        <f>SUM(G454:G459)</f>
        <v>0</v>
      </c>
      <c r="H460" s="83">
        <f>SUM(H454:H459)</f>
        <v>0</v>
      </c>
      <c r="I460" s="83">
        <f>SUM(I454:I459)</f>
        <v>2840672.21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2840672.21</v>
      </c>
      <c r="G461" s="42">
        <f>G452+G460</f>
        <v>0</v>
      </c>
      <c r="H461" s="42">
        <f>H452+H460</f>
        <v>0</v>
      </c>
      <c r="I461" s="42">
        <f>I452+I460</f>
        <v>2840672.21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2507136.25</v>
      </c>
      <c r="G465" s="18">
        <v>49659.65</v>
      </c>
      <c r="H465" s="18">
        <v>141368.10999999999</v>
      </c>
      <c r="I465" s="18"/>
      <c r="J465" s="18">
        <v>3108173.2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f>F193</f>
        <v>39553710.530000001</v>
      </c>
      <c r="G468" s="18">
        <f>G193</f>
        <v>590279.83000000007</v>
      </c>
      <c r="H468" s="18">
        <f>H193</f>
        <v>998794.84000000008</v>
      </c>
      <c r="I468" s="18">
        <f>I193</f>
        <v>0</v>
      </c>
      <c r="J468" s="18">
        <f>L408</f>
        <v>308158.13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39553710.530000001</v>
      </c>
      <c r="G470" s="53">
        <f>SUM(G468:G469)</f>
        <v>590279.83000000007</v>
      </c>
      <c r="H470" s="53">
        <f>SUM(H468:H469)</f>
        <v>998794.84000000008</v>
      </c>
      <c r="I470" s="53">
        <f>SUM(I468:I469)</f>
        <v>0</v>
      </c>
      <c r="J470" s="53">
        <f>SUM(J468:J469)</f>
        <v>308158.13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f>L271</f>
        <v>39013195.170000002</v>
      </c>
      <c r="G472" s="18">
        <f>L362</f>
        <v>599176.75</v>
      </c>
      <c r="H472" s="18">
        <f>L352</f>
        <v>998794.94</v>
      </c>
      <c r="I472" s="18">
        <f>L382</f>
        <v>0</v>
      </c>
      <c r="J472" s="18">
        <f>L434</f>
        <v>575659.12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>
        <v>12203.18</v>
      </c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39025398.350000001</v>
      </c>
      <c r="G474" s="53">
        <f>SUM(G472:G473)</f>
        <v>599176.75</v>
      </c>
      <c r="H474" s="53">
        <f>SUM(H472:H473)</f>
        <v>998794.94</v>
      </c>
      <c r="I474" s="53">
        <f>SUM(I472:I473)</f>
        <v>0</v>
      </c>
      <c r="J474" s="53">
        <f>SUM(J472:J473)</f>
        <v>575659.12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3035448.4299999997</v>
      </c>
      <c r="G476" s="53">
        <f>(G465+G470)- G474</f>
        <v>40762.730000000098</v>
      </c>
      <c r="H476" s="53">
        <f>(H465+H470)- H474</f>
        <v>141368.01000000024</v>
      </c>
      <c r="I476" s="53">
        <f>(I465+I470)- I474</f>
        <v>0</v>
      </c>
      <c r="J476" s="53">
        <f>(J465+J470)- J474</f>
        <v>2840672.21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 t="s">
        <v>915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20</v>
      </c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913</v>
      </c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914</v>
      </c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23650600</v>
      </c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3.38</v>
      </c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17730000</v>
      </c>
      <c r="G495" s="18"/>
      <c r="H495" s="18"/>
      <c r="I495" s="18"/>
      <c r="J495" s="18"/>
      <c r="K495" s="53">
        <f>SUM(F495:J495)</f>
        <v>17730000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1185000</v>
      </c>
      <c r="G497" s="18"/>
      <c r="H497" s="18"/>
      <c r="I497" s="18"/>
      <c r="J497" s="18"/>
      <c r="K497" s="53">
        <f t="shared" si="35"/>
        <v>1185000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16545000</v>
      </c>
      <c r="G498" s="204"/>
      <c r="H498" s="204"/>
      <c r="I498" s="204"/>
      <c r="J498" s="204"/>
      <c r="K498" s="205">
        <f t="shared" si="35"/>
        <v>16545000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4888050</v>
      </c>
      <c r="G499" s="18"/>
      <c r="H499" s="18"/>
      <c r="I499" s="18"/>
      <c r="J499" s="18"/>
      <c r="K499" s="53">
        <f t="shared" si="35"/>
        <v>4888050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21433050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21433050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1185000</v>
      </c>
      <c r="G501" s="204"/>
      <c r="H501" s="204"/>
      <c r="I501" s="204"/>
      <c r="J501" s="204"/>
      <c r="K501" s="205">
        <f t="shared" si="35"/>
        <v>1185000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611450</v>
      </c>
      <c r="G502" s="18"/>
      <c r="H502" s="18"/>
      <c r="I502" s="18"/>
      <c r="J502" s="18"/>
      <c r="K502" s="53">
        <f t="shared" si="35"/>
        <v>611450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1796450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1796450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f>595424.81+8548.39+569887.52</f>
        <v>1173860.7200000002</v>
      </c>
      <c r="G521" s="18">
        <f>441273.33+37441.47+7945.03+65835.42+653.94+54420.29+167912.35+1716.91+40</f>
        <v>777238.74000000011</v>
      </c>
      <c r="H521" s="18">
        <f>21919.96+115059.39+89581.53</f>
        <v>226560.88</v>
      </c>
      <c r="I521" s="18">
        <f>7907.89+193.41+788.01+169.05</f>
        <v>9058.3599999999988</v>
      </c>
      <c r="J521" s="18">
        <f>1915.31+17768.25+4753.32</f>
        <v>24436.880000000001</v>
      </c>
      <c r="K521" s="18"/>
      <c r="L521" s="88">
        <f>SUM(F521:K521)</f>
        <v>2211155.58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>
        <f>298659.55+456118.32</f>
        <v>754777.87</v>
      </c>
      <c r="G522" s="18">
        <f>363943.32+32704.42+5211.71+67426.25+51651.13+82130.19+3398.48+40.18</f>
        <v>606505.68000000005</v>
      </c>
      <c r="H522" s="18">
        <f>34478+38825.07+150201.6</f>
        <v>223504.67</v>
      </c>
      <c r="I522" s="18">
        <f>7676.7+1968.15+3390.18</f>
        <v>13035.03</v>
      </c>
      <c r="J522" s="18">
        <f>1605</f>
        <v>1605</v>
      </c>
      <c r="K522" s="18">
        <f>20.61</f>
        <v>20.61</v>
      </c>
      <c r="L522" s="88">
        <f>SUM(F522:K522)</f>
        <v>1599448.86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f>345217.11+5429.78+179441.3+21654.6</f>
        <v>551742.78999999992</v>
      </c>
      <c r="G523" s="18">
        <f>257425.12+84264.02+3410.4+127.68+47898.96+1946.1+20053.72+2464.28+77974.02+2221.72+127.28</f>
        <v>497913.30000000005</v>
      </c>
      <c r="H523" s="18">
        <f>45569.22+299819.25+950484.11</f>
        <v>1295872.58</v>
      </c>
      <c r="I523" s="18">
        <f>5028.32+3268.61+4550.13</f>
        <v>12847.060000000001</v>
      </c>
      <c r="J523" s="18">
        <f>6080.32</f>
        <v>6080.32</v>
      </c>
      <c r="K523" s="18">
        <f>418.89</f>
        <v>418.89</v>
      </c>
      <c r="L523" s="88">
        <f>SUM(F523:K523)</f>
        <v>2364874.94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2480381.3800000004</v>
      </c>
      <c r="G524" s="108">
        <f t="shared" ref="G524:L524" si="36">SUM(G521:G523)</f>
        <v>1881657.7200000002</v>
      </c>
      <c r="H524" s="108">
        <f t="shared" si="36"/>
        <v>1745938.1300000001</v>
      </c>
      <c r="I524" s="108">
        <f t="shared" si="36"/>
        <v>34940.449999999997</v>
      </c>
      <c r="J524" s="108">
        <f t="shared" si="36"/>
        <v>32122.2</v>
      </c>
      <c r="K524" s="108">
        <f t="shared" si="36"/>
        <v>439.5</v>
      </c>
      <c r="L524" s="89">
        <f t="shared" si="36"/>
        <v>6175479.3800000008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f>340894+66462.13</f>
        <v>407356.13</v>
      </c>
      <c r="G526" s="18">
        <f>17204.58</f>
        <v>17204.580000000002</v>
      </c>
      <c r="H526" s="18">
        <f>35946.34+22628.63+58896.47</f>
        <v>117471.44</v>
      </c>
      <c r="I526" s="18">
        <f>318.68+3095.23</f>
        <v>3413.91</v>
      </c>
      <c r="J526" s="18">
        <f>3460.49</f>
        <v>3460.49</v>
      </c>
      <c r="K526" s="18"/>
      <c r="L526" s="88">
        <f>SUM(F526:K526)</f>
        <v>548906.55000000005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>
        <f>137137.5+56463.41</f>
        <v>193600.91</v>
      </c>
      <c r="G527" s="18">
        <f>14616.28</f>
        <v>14616.28</v>
      </c>
      <c r="H527" s="18">
        <f>19224.32+50035.94</f>
        <v>69260.260000000009</v>
      </c>
      <c r="I527" s="18">
        <f>270.74+2632.97</f>
        <v>2903.71</v>
      </c>
      <c r="J527" s="18">
        <f>2939.89</f>
        <v>2939.89</v>
      </c>
      <c r="K527" s="18"/>
      <c r="L527" s="88">
        <f>SUM(F527:K527)</f>
        <v>283321.05000000005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>
        <f>586774.5+67991.35</f>
        <v>654765.85</v>
      </c>
      <c r="G528" s="18">
        <f>17600.44</f>
        <v>17600.439999999999</v>
      </c>
      <c r="H528" s="18">
        <f>4900+23149.29+60251.6</f>
        <v>88300.89</v>
      </c>
      <c r="I528" s="18">
        <f>326.02+3170.53</f>
        <v>3496.55</v>
      </c>
      <c r="J528" s="18">
        <f>3540.12</f>
        <v>3540.12</v>
      </c>
      <c r="K528" s="18"/>
      <c r="L528" s="88">
        <f>SUM(F528:K528)</f>
        <v>767703.85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1255722.8900000001</v>
      </c>
      <c r="G529" s="89">
        <f t="shared" ref="G529:L529" si="37">SUM(G526:G528)</f>
        <v>49421.3</v>
      </c>
      <c r="H529" s="89">
        <f t="shared" si="37"/>
        <v>275032.59000000003</v>
      </c>
      <c r="I529" s="89">
        <f t="shared" si="37"/>
        <v>9814.17</v>
      </c>
      <c r="J529" s="89">
        <f t="shared" si="37"/>
        <v>9940.5</v>
      </c>
      <c r="K529" s="89">
        <f t="shared" si="37"/>
        <v>0</v>
      </c>
      <c r="L529" s="89">
        <f t="shared" si="37"/>
        <v>1599931.4500000002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f>116420.98</f>
        <v>116420.98</v>
      </c>
      <c r="G531" s="18">
        <f>96869.09</f>
        <v>96869.09</v>
      </c>
      <c r="H531" s="18"/>
      <c r="I531" s="18"/>
      <c r="J531" s="18"/>
      <c r="K531" s="18">
        <f>1031.13</f>
        <v>1031.1300000000001</v>
      </c>
      <c r="L531" s="88">
        <f>SUM(F531:K531)</f>
        <v>214321.2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>
        <f>98906.32</f>
        <v>98906.32</v>
      </c>
      <c r="G532" s="18">
        <f>82295.86</f>
        <v>82295.86</v>
      </c>
      <c r="H532" s="18"/>
      <c r="I532" s="18"/>
      <c r="J532" s="18"/>
      <c r="K532" s="18">
        <f>876</f>
        <v>876</v>
      </c>
      <c r="L532" s="88">
        <f>SUM(F532:K532)</f>
        <v>182078.18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f>119099.7</f>
        <v>119099.7</v>
      </c>
      <c r="G533" s="18">
        <f>99097.83</f>
        <v>99097.83</v>
      </c>
      <c r="H533" s="18"/>
      <c r="I533" s="18"/>
      <c r="J533" s="18"/>
      <c r="K533" s="18">
        <f>1056.86</f>
        <v>1056.8599999999999</v>
      </c>
      <c r="L533" s="88">
        <f>SUM(F533:K533)</f>
        <v>219254.38999999998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334427</v>
      </c>
      <c r="G534" s="89">
        <f t="shared" ref="G534:L534" si="38">SUM(G531:G533)</f>
        <v>278262.78000000003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2963.99</v>
      </c>
      <c r="L534" s="89">
        <f t="shared" si="38"/>
        <v>615653.77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>
        <f>4748.1</f>
        <v>4748.1000000000004</v>
      </c>
      <c r="I536" s="18"/>
      <c r="J536" s="18"/>
      <c r="K536" s="18"/>
      <c r="L536" s="88">
        <f>SUM(F536:K536)</f>
        <v>4748.1000000000004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>
        <f>13566-H536-H538</f>
        <v>4069.7999999999993</v>
      </c>
      <c r="I537" s="18"/>
      <c r="J537" s="18"/>
      <c r="K537" s="18"/>
      <c r="L537" s="88">
        <f>SUM(F537:K537)</f>
        <v>4069.7999999999993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>
        <f>4748.1</f>
        <v>4748.1000000000004</v>
      </c>
      <c r="I538" s="18"/>
      <c r="J538" s="18"/>
      <c r="K538" s="18"/>
      <c r="L538" s="88">
        <f>SUM(F538:K538)</f>
        <v>4748.1000000000004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13566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13566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>
        <f>14715.92</f>
        <v>14715.92</v>
      </c>
      <c r="G541" s="18">
        <f>4250.86</f>
        <v>4250.8599999999997</v>
      </c>
      <c r="H541" s="18">
        <f>27594.07</f>
        <v>27594.07</v>
      </c>
      <c r="I541" s="18">
        <f>6648.5</f>
        <v>6648.5</v>
      </c>
      <c r="J541" s="18"/>
      <c r="K541" s="18"/>
      <c r="L541" s="88">
        <f>SUM(F541:K541)</f>
        <v>53209.35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>
        <f>12502.22</f>
        <v>12502.22</v>
      </c>
      <c r="G542" s="18">
        <f>3611.35</f>
        <v>3611.35</v>
      </c>
      <c r="H542" s="18">
        <f>23442.75</f>
        <v>23442.75</v>
      </c>
      <c r="I542" s="18">
        <f>5648.29</f>
        <v>5648.29</v>
      </c>
      <c r="J542" s="18"/>
      <c r="K542" s="18"/>
      <c r="L542" s="88">
        <f>SUM(F542:K542)</f>
        <v>45204.61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>
        <f>15054.52</f>
        <v>15054.52</v>
      </c>
      <c r="G543" s="18">
        <f>4348.67</f>
        <v>4348.67</v>
      </c>
      <c r="H543" s="18">
        <f>28228.98</f>
        <v>28228.98</v>
      </c>
      <c r="I543" s="18">
        <f>6801.48</f>
        <v>6801.48</v>
      </c>
      <c r="J543" s="18"/>
      <c r="K543" s="18"/>
      <c r="L543" s="88">
        <f>SUM(F543:K543)</f>
        <v>54433.649999999994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42272.66</v>
      </c>
      <c r="G544" s="193">
        <f t="shared" ref="G544:L544" si="40">SUM(G541:G543)</f>
        <v>12210.88</v>
      </c>
      <c r="H544" s="193">
        <f t="shared" si="40"/>
        <v>79265.8</v>
      </c>
      <c r="I544" s="193">
        <f t="shared" si="40"/>
        <v>19098.27</v>
      </c>
      <c r="J544" s="193">
        <f t="shared" si="40"/>
        <v>0</v>
      </c>
      <c r="K544" s="193">
        <f t="shared" si="40"/>
        <v>0</v>
      </c>
      <c r="L544" s="193">
        <f t="shared" si="40"/>
        <v>152847.60999999999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4112803.9300000006</v>
      </c>
      <c r="G545" s="89">
        <f t="shared" ref="G545:L545" si="41">G524+G529+G534+G539+G544</f>
        <v>2221552.6800000002</v>
      </c>
      <c r="H545" s="89">
        <f t="shared" si="41"/>
        <v>2113802.52</v>
      </c>
      <c r="I545" s="89">
        <f t="shared" si="41"/>
        <v>63852.89</v>
      </c>
      <c r="J545" s="89">
        <f t="shared" si="41"/>
        <v>42062.7</v>
      </c>
      <c r="K545" s="89">
        <f t="shared" si="41"/>
        <v>3403.49</v>
      </c>
      <c r="L545" s="89">
        <f t="shared" si="41"/>
        <v>8557478.2100000009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2211155.58</v>
      </c>
      <c r="G549" s="87">
        <f>L526</f>
        <v>548906.55000000005</v>
      </c>
      <c r="H549" s="87">
        <f>L531</f>
        <v>214321.2</v>
      </c>
      <c r="I549" s="87">
        <f>L536</f>
        <v>4748.1000000000004</v>
      </c>
      <c r="J549" s="87">
        <f>L541</f>
        <v>53209.35</v>
      </c>
      <c r="K549" s="87">
        <f>SUM(F549:J549)</f>
        <v>3032340.7800000003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1599448.86</v>
      </c>
      <c r="G550" s="87">
        <f>L527</f>
        <v>283321.05000000005</v>
      </c>
      <c r="H550" s="87">
        <f>L532</f>
        <v>182078.18</v>
      </c>
      <c r="I550" s="87">
        <f>L537</f>
        <v>4069.7999999999993</v>
      </c>
      <c r="J550" s="87">
        <f>L542</f>
        <v>45204.61</v>
      </c>
      <c r="K550" s="87">
        <f>SUM(F550:J550)</f>
        <v>2114122.5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2364874.94</v>
      </c>
      <c r="G551" s="87">
        <f>L528</f>
        <v>767703.85</v>
      </c>
      <c r="H551" s="87">
        <f>L533</f>
        <v>219254.38999999998</v>
      </c>
      <c r="I551" s="87">
        <f>L538</f>
        <v>4748.1000000000004</v>
      </c>
      <c r="J551" s="87">
        <f>L543</f>
        <v>54433.649999999994</v>
      </c>
      <c r="K551" s="87">
        <f>SUM(F551:J551)</f>
        <v>3411014.93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6175479.3800000008</v>
      </c>
      <c r="G552" s="89">
        <f t="shared" si="42"/>
        <v>1599931.4500000002</v>
      </c>
      <c r="H552" s="89">
        <f t="shared" si="42"/>
        <v>615653.77</v>
      </c>
      <c r="I552" s="89">
        <f t="shared" si="42"/>
        <v>13566</v>
      </c>
      <c r="J552" s="89">
        <f t="shared" si="42"/>
        <v>152847.60999999999</v>
      </c>
      <c r="K552" s="89">
        <f t="shared" si="42"/>
        <v>8557478.2100000009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f>45+21874.96</f>
        <v>21919.96</v>
      </c>
      <c r="G579" s="18">
        <f>34478</f>
        <v>34478</v>
      </c>
      <c r="H579" s="18">
        <f>3871+45569.22</f>
        <v>49440.22</v>
      </c>
      <c r="I579" s="87">
        <f t="shared" si="47"/>
        <v>105838.18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>
        <f>115059.39</f>
        <v>115059.39</v>
      </c>
      <c r="G580" s="18">
        <f>38825.07</f>
        <v>38825.07</v>
      </c>
      <c r="H580" s="18">
        <f>145934.79</f>
        <v>145934.79</v>
      </c>
      <c r="I580" s="87">
        <f t="shared" si="47"/>
        <v>299819.25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>
        <f>594.43+88987.1</f>
        <v>89581.53</v>
      </c>
      <c r="G583" s="18">
        <f>8919.6+150201.6</f>
        <v>159121.20000000001</v>
      </c>
      <c r="H583" s="18">
        <f>950949.11</f>
        <v>950949.11</v>
      </c>
      <c r="I583" s="87">
        <f t="shared" si="47"/>
        <v>1199651.8400000001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>
        <f>483869.44+24415</f>
        <v>508284.44</v>
      </c>
      <c r="I585" s="87">
        <f t="shared" si="47"/>
        <v>508284.44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f>105120.62+9393.81+114449.64+22113.85+20392.04+20934.12+5474.01+2581.25+233.12+181.23+394.3</f>
        <v>301267.99</v>
      </c>
      <c r="I591" s="18">
        <f>89306.02+7980.58+97231.56+18786.98+17324.21+17784.74+4650.49+2192.92+198.05+153.94+334.98</f>
        <v>255944.47</v>
      </c>
      <c r="J591" s="18">
        <f>107539.33+9609.95+117083+22622.66+20861.24+21415.79+5599.96+2640.64+238.48+185.37+403.37-2711.76</f>
        <v>305488.02999999997</v>
      </c>
      <c r="K591" s="104">
        <f t="shared" ref="K591:K597" si="48">SUM(H591:J591)</f>
        <v>862700.49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f>18966.79+27594.07+6648.5</f>
        <v>53209.36</v>
      </c>
      <c r="I592" s="18">
        <f>16113.38+23442.75+5648.29</f>
        <v>45204.42</v>
      </c>
      <c r="J592" s="18">
        <f>19403.19+28228.98+6801.48</f>
        <v>54433.649999999994</v>
      </c>
      <c r="K592" s="104">
        <f t="shared" si="48"/>
        <v>152847.43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>
        <f>31627.44</f>
        <v>31627.439999999999</v>
      </c>
      <c r="K593" s="104">
        <f t="shared" si="48"/>
        <v>31627.439999999999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>
        <f>3949.11+293.9</f>
        <v>4243.01</v>
      </c>
      <c r="J594" s="18">
        <f>32101.02+2417.51+63480.95</f>
        <v>97999.48</v>
      </c>
      <c r="K594" s="104">
        <f t="shared" si="48"/>
        <v>102242.48999999999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f>5701.32+413.58+750</f>
        <v>6864.9</v>
      </c>
      <c r="I595" s="18">
        <f>417.21+5789.44+10397</f>
        <v>16603.650000000001</v>
      </c>
      <c r="J595" s="18">
        <f>5318.29+394.3+5973+0.32</f>
        <v>11685.91</v>
      </c>
      <c r="K595" s="104">
        <f t="shared" si="48"/>
        <v>35154.460000000006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361342.25</v>
      </c>
      <c r="I598" s="108">
        <f>SUM(I591:I597)</f>
        <v>321995.55000000005</v>
      </c>
      <c r="J598" s="108">
        <f>SUM(J591:J597)</f>
        <v>501234.50999999989</v>
      </c>
      <c r="K598" s="108">
        <f>SUM(K591:K597)</f>
        <v>1184572.3099999998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f>J211+J290</f>
        <v>169894.99</v>
      </c>
      <c r="I604" s="18">
        <f>J229+J309</f>
        <v>84994.680000000008</v>
      </c>
      <c r="J604" s="18">
        <f>J247+J328+J333</f>
        <v>200082.75000000003</v>
      </c>
      <c r="K604" s="104">
        <f>SUM(H604:J604)</f>
        <v>454972.42000000004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169894.99</v>
      </c>
      <c r="I605" s="108">
        <f>SUM(I602:I604)</f>
        <v>84994.680000000008</v>
      </c>
      <c r="J605" s="108">
        <f>SUM(J602:J604)</f>
        <v>200082.75000000003</v>
      </c>
      <c r="K605" s="108">
        <f>SUM(K602:K604)</f>
        <v>454972.42000000004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f>5400+31536.87</f>
        <v>36936.869999999995</v>
      </c>
      <c r="G611" s="18">
        <f>765+2318.43+1438.33+4161.23+18.37+22.27</f>
        <v>8723.630000000001</v>
      </c>
      <c r="H611" s="18"/>
      <c r="I611" s="18">
        <f>1978.35</f>
        <v>1978.35</v>
      </c>
      <c r="J611" s="18"/>
      <c r="K611" s="18"/>
      <c r="L611" s="88">
        <f>SUM(F611:K611)</f>
        <v>47638.85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>
        <f>4600+14735.56</f>
        <v>19335.559999999998</v>
      </c>
      <c r="G612" s="18">
        <f>1127.26+2558.08+75.52</f>
        <v>3760.86</v>
      </c>
      <c r="H612" s="18"/>
      <c r="I612" s="18"/>
      <c r="J612" s="18"/>
      <c r="K612" s="18"/>
      <c r="L612" s="88">
        <f>SUM(F612:K612)</f>
        <v>23096.42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>
        <f>19380.37</f>
        <v>19380.37</v>
      </c>
      <c r="G613" s="18">
        <f>1482.61+3038.53+75.52</f>
        <v>4596.6600000000008</v>
      </c>
      <c r="H613" s="18"/>
      <c r="I613" s="18"/>
      <c r="J613" s="18"/>
      <c r="K613" s="18"/>
      <c r="L613" s="88">
        <f>SUM(F613:K613)</f>
        <v>23977.03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75652.799999999988</v>
      </c>
      <c r="G614" s="108">
        <f t="shared" si="49"/>
        <v>17081.150000000001</v>
      </c>
      <c r="H614" s="108">
        <f t="shared" si="49"/>
        <v>0</v>
      </c>
      <c r="I614" s="108">
        <f t="shared" si="49"/>
        <v>1978.35</v>
      </c>
      <c r="J614" s="108">
        <f t="shared" si="49"/>
        <v>0</v>
      </c>
      <c r="K614" s="108">
        <f t="shared" si="49"/>
        <v>0</v>
      </c>
      <c r="L614" s="89">
        <f t="shared" si="49"/>
        <v>94712.299999999988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3168589.8600000003</v>
      </c>
      <c r="H617" s="109">
        <f>SUM(F52)</f>
        <v>3168589.8600000003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62737.819999999992</v>
      </c>
      <c r="H618" s="109">
        <f>SUM(G52)</f>
        <v>62737.819999999992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269905.37</v>
      </c>
      <c r="H619" s="109">
        <f>SUM(H52)</f>
        <v>269905.37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2840672.21</v>
      </c>
      <c r="H621" s="109">
        <f>SUM(J52)</f>
        <v>2840672.21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3035448.43</v>
      </c>
      <c r="H622" s="109">
        <f>F476</f>
        <v>3035448.4299999997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40762.729999999996</v>
      </c>
      <c r="H623" s="109">
        <f>G476</f>
        <v>40762.730000000098</v>
      </c>
      <c r="I623" s="121" t="s">
        <v>102</v>
      </c>
      <c r="J623" s="109">
        <f t="shared" si="50"/>
        <v>-1.0186340659856796E-10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141368.01</v>
      </c>
      <c r="H624" s="109">
        <f>H476</f>
        <v>141368.01000000024</v>
      </c>
      <c r="I624" s="121" t="s">
        <v>103</v>
      </c>
      <c r="J624" s="109">
        <f t="shared" si="50"/>
        <v>-2.3283064365386963E-10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2840672.21</v>
      </c>
      <c r="H626" s="109">
        <f>J476</f>
        <v>2840672.21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39553710.530000001</v>
      </c>
      <c r="H627" s="104">
        <f>SUM(F468)</f>
        <v>39553710.530000001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590279.83000000007</v>
      </c>
      <c r="H628" s="104">
        <f>SUM(G468)</f>
        <v>590279.83000000007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998794.84000000008</v>
      </c>
      <c r="H629" s="104">
        <f>SUM(H468)</f>
        <v>998794.84000000008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308158.13</v>
      </c>
      <c r="H631" s="104">
        <f>SUM(J468)</f>
        <v>308158.13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39013195.170000002</v>
      </c>
      <c r="H632" s="104">
        <f>SUM(F472)</f>
        <v>39013195.170000002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998794.94</v>
      </c>
      <c r="H633" s="104">
        <f>SUM(H472)</f>
        <v>998794.94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326694.20000000007</v>
      </c>
      <c r="H634" s="104">
        <f>I369</f>
        <v>326694.2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599176.75</v>
      </c>
      <c r="H635" s="104">
        <f>SUM(G472)</f>
        <v>599176.75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308158.13</v>
      </c>
      <c r="H637" s="164">
        <f>SUM(J468)</f>
        <v>308158.13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575659.12</v>
      </c>
      <c r="H638" s="164">
        <f>SUM(J472)</f>
        <v>575659.12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2840672.21</v>
      </c>
      <c r="H639" s="104">
        <f>SUM(F461)</f>
        <v>2840672.21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2840672.21</v>
      </c>
      <c r="H642" s="104">
        <f>SUM(I461)</f>
        <v>2840672.21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8158.1299999999974</v>
      </c>
      <c r="H644" s="104">
        <f>H408</f>
        <v>8158.1299999999992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300000</v>
      </c>
      <c r="H645" s="104">
        <f>G408</f>
        <v>300000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308158.13</v>
      </c>
      <c r="H646" s="104">
        <f>L408</f>
        <v>308158.13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1184572.3099999998</v>
      </c>
      <c r="H647" s="104">
        <f>L208+L226+L244</f>
        <v>1184572.31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454972.42000000004</v>
      </c>
      <c r="H648" s="104">
        <f>(J257+J338)-(J255+J336)</f>
        <v>454972.42000000004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361342.25</v>
      </c>
      <c r="H649" s="104">
        <f>H598</f>
        <v>361342.25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321995.55000000005</v>
      </c>
      <c r="H650" s="104">
        <f>I598</f>
        <v>321995.55000000005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501234.51</v>
      </c>
      <c r="H651" s="104">
        <f>J598</f>
        <v>501234.50999999989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300000</v>
      </c>
      <c r="H655" s="104">
        <f>K266+K347</f>
        <v>300000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14082406.940000001</v>
      </c>
      <c r="G660" s="19">
        <f>(L229+L309+L359)</f>
        <v>10113139.970000004</v>
      </c>
      <c r="H660" s="19">
        <f>(L247+L328+L360)</f>
        <v>13810770.609999999</v>
      </c>
      <c r="I660" s="19">
        <f>SUM(F660:H660)</f>
        <v>38006317.520000003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119008.50866367732</v>
      </c>
      <c r="G661" s="19">
        <f>(L359/IF(SUM(L358:L360)=0,1,SUM(L358:L360))*(SUM(G97:G110)))</f>
        <v>102007.29558606456</v>
      </c>
      <c r="H661" s="19">
        <f>(L360/IF(SUM(L358:L360)=0,1,SUM(L358:L360))*(SUM(G97:G110)))</f>
        <v>120922.14575025818</v>
      </c>
      <c r="I661" s="19">
        <f>SUM(F661:H661)</f>
        <v>341937.95000000007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361447.19</v>
      </c>
      <c r="G662" s="19">
        <f>(L226+L306)-(J226+J306)</f>
        <v>321462.52</v>
      </c>
      <c r="H662" s="19">
        <f>(L244+L325)-(J244+J325)</f>
        <v>500592.66000000003</v>
      </c>
      <c r="I662" s="19">
        <f>SUM(F662:H662)</f>
        <v>1183502.3700000001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444094.71999999997</v>
      </c>
      <c r="G663" s="199">
        <f>SUM(G575:G587)+SUM(I602:I604)+L612</f>
        <v>340515.37</v>
      </c>
      <c r="H663" s="199">
        <f>SUM(H575:H587)+SUM(J602:J604)+L613</f>
        <v>1878668.34</v>
      </c>
      <c r="I663" s="19">
        <f>SUM(F663:H663)</f>
        <v>2663278.4300000002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13157856.521336325</v>
      </c>
      <c r="G664" s="19">
        <f>G660-SUM(G661:G663)</f>
        <v>9349154.7844139393</v>
      </c>
      <c r="H664" s="19">
        <f>H660-SUM(H661:H663)</f>
        <v>11310587.464249741</v>
      </c>
      <c r="I664" s="19">
        <f>I660-SUM(I661:I663)</f>
        <v>33817598.770000003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570.88</v>
      </c>
      <c r="G665" s="248">
        <v>476.19</v>
      </c>
      <c r="H665" s="248">
        <v>574.45000000000005</v>
      </c>
      <c r="I665" s="19">
        <f>SUM(F665:H665)</f>
        <v>1621.52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23048.38</v>
      </c>
      <c r="G667" s="19">
        <f>ROUND(G664/G665,2)</f>
        <v>19633.240000000002</v>
      </c>
      <c r="H667" s="19">
        <f>ROUND(H664/H665,2)</f>
        <v>19689.419999999998</v>
      </c>
      <c r="I667" s="19">
        <f>ROUND(I664/I665,2)</f>
        <v>20855.490000000002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-15.06</v>
      </c>
      <c r="I670" s="19">
        <f>SUM(F670:H670)</f>
        <v>-15.06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23048.38</v>
      </c>
      <c r="G672" s="19">
        <f>ROUND((G664+G669)/(G665+G670),2)</f>
        <v>19633.240000000002</v>
      </c>
      <c r="H672" s="19">
        <f>ROUND((H664+H669)/(H665+H670),2)</f>
        <v>20219.5</v>
      </c>
      <c r="I672" s="19">
        <f>ROUND((I664+I669)/(I665+I670),2)</f>
        <v>21051.01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10"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Lebanon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10600649.170000002</v>
      </c>
      <c r="C9" s="229">
        <f>'DOE25'!G197+'DOE25'!G215+'DOE25'!G233+'DOE25'!G276+'DOE25'!G295+'DOE25'!G314</f>
        <v>5762274.8200000003</v>
      </c>
    </row>
    <row r="10" spans="1:3" x14ac:dyDescent="0.2">
      <c r="A10" t="s">
        <v>773</v>
      </c>
      <c r="B10" s="240">
        <f>9201668.28</f>
        <v>9201668.2799999993</v>
      </c>
      <c r="C10" s="240">
        <f>C9-C11-C12</f>
        <v>5098432.9235999994</v>
      </c>
    </row>
    <row r="11" spans="1:3" x14ac:dyDescent="0.2">
      <c r="A11" t="s">
        <v>774</v>
      </c>
      <c r="B11" s="240">
        <f>868746.17</f>
        <v>868746.17</v>
      </c>
      <c r="C11" s="240">
        <f>B11*0.52</f>
        <v>451748.00840000005</v>
      </c>
    </row>
    <row r="12" spans="1:3" x14ac:dyDescent="0.2">
      <c r="A12" t="s">
        <v>775</v>
      </c>
      <c r="B12" s="240">
        <f>B9-SUM(B10:B11)</f>
        <v>530234.72000000253</v>
      </c>
      <c r="C12" s="240">
        <f>B12*0.4</f>
        <v>212093.88800000102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10600649.170000002</v>
      </c>
      <c r="C13" s="231">
        <f>SUM(C10:C12)</f>
        <v>5762274.8200000003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3592499.77</v>
      </c>
      <c r="C18" s="229">
        <f>'DOE25'!G198+'DOE25'!G216+'DOE25'!G234+'DOE25'!G277+'DOE25'!G296+'DOE25'!G315</f>
        <v>2137632.98</v>
      </c>
    </row>
    <row r="19" spans="1:3" x14ac:dyDescent="0.2">
      <c r="A19" t="s">
        <v>773</v>
      </c>
      <c r="B19" s="240">
        <f>1408475.92+586774.5</f>
        <v>1995250.42</v>
      </c>
      <c r="C19" s="240">
        <f>C18-C20-C21</f>
        <v>1350820.8007999999</v>
      </c>
    </row>
    <row r="20" spans="1:3" x14ac:dyDescent="0.2">
      <c r="A20" t="s">
        <v>774</v>
      </c>
      <c r="B20" s="240">
        <f>1232603.66</f>
        <v>1232603.6599999999</v>
      </c>
      <c r="C20" s="240">
        <f>B20*0.52</f>
        <v>640953.90319999994</v>
      </c>
    </row>
    <row r="21" spans="1:3" x14ac:dyDescent="0.2">
      <c r="A21" t="s">
        <v>775</v>
      </c>
      <c r="B21" s="240">
        <f>B18-B19-B20</f>
        <v>364645.69000000018</v>
      </c>
      <c r="C21" s="240">
        <f>B21*0.4</f>
        <v>145858.27600000007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3592499.7700000005</v>
      </c>
      <c r="C22" s="231">
        <f>SUM(C19:C21)</f>
        <v>2137632.98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574655.4</v>
      </c>
      <c r="C36" s="235">
        <f>'DOE25'!G200+'DOE25'!G218+'DOE25'!G236+'DOE25'!G279+'DOE25'!G298+'DOE25'!G317</f>
        <v>97907.080000000016</v>
      </c>
    </row>
    <row r="37" spans="1:3" x14ac:dyDescent="0.2">
      <c r="A37" t="s">
        <v>773</v>
      </c>
      <c r="B37" s="240">
        <f>109050+70464+219712.18+75652.8+21600</f>
        <v>496478.98</v>
      </c>
      <c r="C37" s="240">
        <v>97907.08</v>
      </c>
    </row>
    <row r="38" spans="1:3" x14ac:dyDescent="0.2">
      <c r="A38" t="s">
        <v>774</v>
      </c>
      <c r="B38" s="240">
        <v>0</v>
      </c>
      <c r="C38" s="240"/>
    </row>
    <row r="39" spans="1:3" x14ac:dyDescent="0.2">
      <c r="A39" t="s">
        <v>775</v>
      </c>
      <c r="B39" s="240">
        <f>B36-B37</f>
        <v>78176.420000000042</v>
      </c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574655.4</v>
      </c>
      <c r="C40" s="231">
        <f>SUM(C37:C39)</f>
        <v>97907.08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Lebanon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25356398.340000004</v>
      </c>
      <c r="D5" s="20">
        <f>SUM('DOE25'!L197:L200)+SUM('DOE25'!L215:L218)+SUM('DOE25'!L233:L236)-F5-G5</f>
        <v>25091912.770000003</v>
      </c>
      <c r="E5" s="243"/>
      <c r="F5" s="255">
        <f>SUM('DOE25'!J197:J200)+SUM('DOE25'!J215:J218)+SUM('DOE25'!J233:J236)</f>
        <v>183497.59000000003</v>
      </c>
      <c r="G5" s="53">
        <f>SUM('DOE25'!K197:K200)+SUM('DOE25'!K215:K218)+SUM('DOE25'!K233:K236)</f>
        <v>80987.98000000001</v>
      </c>
      <c r="H5" s="259"/>
    </row>
    <row r="6" spans="1:9" x14ac:dyDescent="0.2">
      <c r="A6" s="32">
        <v>2100</v>
      </c>
      <c r="B6" t="s">
        <v>795</v>
      </c>
      <c r="C6" s="245">
        <f t="shared" si="0"/>
        <v>1550086.8699999999</v>
      </c>
      <c r="D6" s="20">
        <f>'DOE25'!L202+'DOE25'!L220+'DOE25'!L238-F6-G6</f>
        <v>1547530.5299999998</v>
      </c>
      <c r="E6" s="243"/>
      <c r="F6" s="255">
        <f>'DOE25'!J202+'DOE25'!J220+'DOE25'!J238</f>
        <v>561.34</v>
      </c>
      <c r="G6" s="53">
        <f>'DOE25'!K202+'DOE25'!K220+'DOE25'!K238</f>
        <v>1995</v>
      </c>
      <c r="H6" s="259"/>
    </row>
    <row r="7" spans="1:9" x14ac:dyDescent="0.2">
      <c r="A7" s="32">
        <v>2200</v>
      </c>
      <c r="B7" t="s">
        <v>828</v>
      </c>
      <c r="C7" s="245">
        <f t="shared" si="0"/>
        <v>2160590.77</v>
      </c>
      <c r="D7" s="20">
        <f>'DOE25'!L203+'DOE25'!L221+'DOE25'!L239-F7-G7</f>
        <v>1952243.4199999997</v>
      </c>
      <c r="E7" s="243"/>
      <c r="F7" s="255">
        <f>'DOE25'!J203+'DOE25'!J221+'DOE25'!J239</f>
        <v>208007.36</v>
      </c>
      <c r="G7" s="53">
        <f>'DOE25'!K203+'DOE25'!K221+'DOE25'!K239</f>
        <v>339.99</v>
      </c>
      <c r="H7" s="259"/>
    </row>
    <row r="8" spans="1:9" x14ac:dyDescent="0.2">
      <c r="A8" s="32">
        <v>2300</v>
      </c>
      <c r="B8" t="s">
        <v>796</v>
      </c>
      <c r="C8" s="245">
        <f t="shared" si="0"/>
        <v>931436.1</v>
      </c>
      <c r="D8" s="243"/>
      <c r="E8" s="20">
        <f>'DOE25'!L204+'DOE25'!L222+'DOE25'!L240-F8-G8-D9-D11</f>
        <v>920908.79999999993</v>
      </c>
      <c r="F8" s="255">
        <f>'DOE25'!J204+'DOE25'!J222+'DOE25'!J240</f>
        <v>60</v>
      </c>
      <c r="G8" s="53">
        <f>'DOE25'!K204+'DOE25'!K222+'DOE25'!K240</f>
        <v>10467.299999999999</v>
      </c>
      <c r="H8" s="259"/>
    </row>
    <row r="9" spans="1:9" x14ac:dyDescent="0.2">
      <c r="A9" s="32">
        <v>2310</v>
      </c>
      <c r="B9" t="s">
        <v>812</v>
      </c>
      <c r="C9" s="245">
        <f t="shared" si="0"/>
        <v>146644.72</v>
      </c>
      <c r="D9" s="244">
        <v>146644.72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24715</v>
      </c>
      <c r="D10" s="243"/>
      <c r="E10" s="244">
        <v>24715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283411.92000000004</v>
      </c>
      <c r="D11" s="244">
        <f>237631.92+45780</f>
        <v>283411.92000000004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2193152.23</v>
      </c>
      <c r="D12" s="20">
        <f>'DOE25'!L205+'DOE25'!L223+'DOE25'!L241-F12-G12</f>
        <v>2175319.61</v>
      </c>
      <c r="E12" s="243"/>
      <c r="F12" s="255">
        <f>'DOE25'!J205+'DOE25'!J223+'DOE25'!J241</f>
        <v>7595.21</v>
      </c>
      <c r="G12" s="53">
        <f>'DOE25'!K205+'DOE25'!K223+'DOE25'!K241</f>
        <v>10237.41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2682901.91</v>
      </c>
      <c r="D14" s="20">
        <f>'DOE25'!L207+'DOE25'!L225+'DOE25'!L243-F14-G14</f>
        <v>2676002.75</v>
      </c>
      <c r="E14" s="243"/>
      <c r="F14" s="255">
        <f>'DOE25'!J207+'DOE25'!J225+'DOE25'!J243</f>
        <v>5413.73</v>
      </c>
      <c r="G14" s="53">
        <f>'DOE25'!K207+'DOE25'!K225+'DOE25'!K243</f>
        <v>1485.43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1184572.31</v>
      </c>
      <c r="D15" s="20">
        <f>'DOE25'!L208+'DOE25'!L226+'DOE25'!L244-F15-G15</f>
        <v>1182249.5</v>
      </c>
      <c r="E15" s="243"/>
      <c r="F15" s="255">
        <f>'DOE25'!J208+'DOE25'!J226+'DOE25'!J244</f>
        <v>1802.2999999999997</v>
      </c>
      <c r="G15" s="53">
        <f>'DOE25'!K208+'DOE25'!K226+'DOE25'!K244</f>
        <v>520.51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319000</v>
      </c>
      <c r="D22" s="243"/>
      <c r="E22" s="243"/>
      <c r="F22" s="255">
        <f>'DOE25'!L255+'DOE25'!L336</f>
        <v>319000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1905000</v>
      </c>
      <c r="D25" s="243"/>
      <c r="E25" s="243"/>
      <c r="F25" s="258"/>
      <c r="G25" s="256"/>
      <c r="H25" s="257">
        <f>'DOE25'!L260+'DOE25'!L261+'DOE25'!L341+'DOE25'!L342</f>
        <v>1905000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354916.52</v>
      </c>
      <c r="D29" s="20">
        <f>'DOE25'!L358+'DOE25'!L359+'DOE25'!L360-'DOE25'!I367-F29-G29</f>
        <v>352117.75</v>
      </c>
      <c r="E29" s="243"/>
      <c r="F29" s="255">
        <f>'DOE25'!J358+'DOE25'!J359+'DOE25'!J360</f>
        <v>2798.77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998794.94</v>
      </c>
      <c r="D31" s="20">
        <f>'DOE25'!L290+'DOE25'!L309+'DOE25'!L328+'DOE25'!L333+'DOE25'!L334+'DOE25'!L335-F31-G31</f>
        <v>912408.75999999989</v>
      </c>
      <c r="E31" s="243"/>
      <c r="F31" s="255">
        <f>'DOE25'!J290+'DOE25'!J309+'DOE25'!J328+'DOE25'!J333+'DOE25'!J334+'DOE25'!J335</f>
        <v>48034.89</v>
      </c>
      <c r="G31" s="53">
        <f>'DOE25'!K290+'DOE25'!K309+'DOE25'!K328+'DOE25'!K333+'DOE25'!K334+'DOE25'!K335</f>
        <v>38351.29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36319841.729999997</v>
      </c>
      <c r="E33" s="246">
        <f>SUM(E5:E31)</f>
        <v>945623.79999999993</v>
      </c>
      <c r="F33" s="246">
        <f>SUM(F5:F31)</f>
        <v>776771.19000000006</v>
      </c>
      <c r="G33" s="246">
        <f>SUM(G5:G31)</f>
        <v>144384.91</v>
      </c>
      <c r="H33" s="246">
        <f>SUM(H5:H31)</f>
        <v>1905000</v>
      </c>
    </row>
    <row r="35" spans="2:8" ht="12" thickBot="1" x14ac:dyDescent="0.25">
      <c r="B35" s="253" t="s">
        <v>841</v>
      </c>
      <c r="D35" s="254">
        <f>E33</f>
        <v>945623.79999999993</v>
      </c>
      <c r="E35" s="249"/>
    </row>
    <row r="36" spans="2:8" ht="12" thickTop="1" x14ac:dyDescent="0.2">
      <c r="B36" t="s">
        <v>809</v>
      </c>
      <c r="D36" s="20">
        <f>D33</f>
        <v>36319841.729999997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Normal="100" workbookViewId="0">
      <pane ySplit="2" topLeftCell="A42" activePane="bottomLeft" state="frozen"/>
      <selection activeCell="F46" sqref="F46"/>
      <selection pane="bottomLeft" activeCell="C61" sqref="C61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Lebanon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1629860.83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1416834.74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2840672.21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25147.69</v>
      </c>
      <c r="E11" s="95">
        <f>'DOE25'!H12</f>
        <v>269905.37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48101.58</v>
      </c>
      <c r="D12" s="95">
        <f>'DOE25'!G13</f>
        <v>10632.91</v>
      </c>
      <c r="E12" s="95" t="str">
        <f>'DOE25'!H13</f>
        <v>.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73792.710000000006</v>
      </c>
      <c r="D13" s="95">
        <f>'DOE25'!G14</f>
        <v>7539.1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19418.12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3168589.8600000003</v>
      </c>
      <c r="D18" s="41">
        <f>SUM(D8:D17)</f>
        <v>62737.819999999992</v>
      </c>
      <c r="E18" s="41">
        <f>SUM(E8:E17)</f>
        <v>269905.37</v>
      </c>
      <c r="F18" s="41">
        <f>SUM(F8:F17)</f>
        <v>0</v>
      </c>
      <c r="G18" s="41">
        <f>SUM(G8:G17)</f>
        <v>2840672.21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23775.06</v>
      </c>
      <c r="D21" s="95">
        <f>'DOE25'!G22</f>
        <v>0</v>
      </c>
      <c r="E21" s="95">
        <f>'DOE25'!H22</f>
        <v>128537.35999999999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109366.37</v>
      </c>
      <c r="D23" s="95">
        <f>'DOE25'!G24</f>
        <v>188.75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21786.34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133141.43</v>
      </c>
      <c r="D31" s="41">
        <f>SUM(D21:D30)</f>
        <v>21975.09</v>
      </c>
      <c r="E31" s="41">
        <f>SUM(E21:E30)</f>
        <v>128537.35999999999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19418.12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21344.61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600000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768005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141368.01</v>
      </c>
      <c r="F47" s="95">
        <f>'DOE25'!I48</f>
        <v>0</v>
      </c>
      <c r="G47" s="95">
        <f>'DOE25'!J48</f>
        <v>2840672.21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394160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1273283.4300000002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3035448.43</v>
      </c>
      <c r="D50" s="41">
        <f>SUM(D34:D49)</f>
        <v>40762.729999999996</v>
      </c>
      <c r="E50" s="41">
        <f>SUM(E34:E49)</f>
        <v>141368.01</v>
      </c>
      <c r="F50" s="41">
        <f>SUM(F34:F49)</f>
        <v>0</v>
      </c>
      <c r="G50" s="41">
        <f>SUM(G34:G49)</f>
        <v>2840672.21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3168589.8600000003</v>
      </c>
      <c r="D51" s="41">
        <f>D50+D31</f>
        <v>62737.819999999992</v>
      </c>
      <c r="E51" s="41">
        <f>E50+E31</f>
        <v>269905.37</v>
      </c>
      <c r="F51" s="41">
        <f>F50+F31</f>
        <v>0</v>
      </c>
      <c r="G51" s="41">
        <f>G50+G31</f>
        <v>2840672.21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26488741.449999999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4467416.29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70410.47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8158.1299999999974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341937.95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246456.88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4784283.6399999997</v>
      </c>
      <c r="D62" s="130">
        <f>SUM(D57:D61)</f>
        <v>341937.95</v>
      </c>
      <c r="E62" s="130">
        <f>SUM(E57:E61)</f>
        <v>0</v>
      </c>
      <c r="F62" s="130">
        <f>SUM(F57:F61)</f>
        <v>0</v>
      </c>
      <c r="G62" s="130">
        <f>SUM(G57:G61)</f>
        <v>8158.1299999999974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31273025.09</v>
      </c>
      <c r="D63" s="22">
        <f>D56+D62</f>
        <v>341937.95</v>
      </c>
      <c r="E63" s="22">
        <f>E56+E62</f>
        <v>0</v>
      </c>
      <c r="F63" s="22">
        <f>F56+F62</f>
        <v>0</v>
      </c>
      <c r="G63" s="22">
        <f>G56+G62</f>
        <v>8158.1299999999974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2064698.76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4278859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16366.83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6359924.5899999999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563604.87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385195.63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168993.81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7512.79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1117794.31</v>
      </c>
      <c r="D78" s="130">
        <f>SUM(D72:D77)</f>
        <v>7512.79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7477718.9000000004</v>
      </c>
      <c r="D81" s="130">
        <f>SUM(D79:D80)+D78+D70</f>
        <v>7512.79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230488.58</v>
      </c>
      <c r="D88" s="95">
        <f>SUM('DOE25'!G153:G161)</f>
        <v>240829.09000000003</v>
      </c>
      <c r="E88" s="95">
        <f>SUM('DOE25'!H153:H161)</f>
        <v>998794.84000000008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3477.96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233966.53999999998</v>
      </c>
      <c r="D91" s="131">
        <f>SUM(D85:D90)</f>
        <v>240829.09000000003</v>
      </c>
      <c r="E91" s="131">
        <f>SUM(E85:E90)</f>
        <v>998794.84000000008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300000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569000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569000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300000</v>
      </c>
    </row>
    <row r="104" spans="1:7" ht="12.75" thickTop="1" thickBot="1" x14ac:dyDescent="0.25">
      <c r="A104" s="33" t="s">
        <v>759</v>
      </c>
      <c r="C104" s="86">
        <f>C63+C81+C91+C103</f>
        <v>39553710.530000001</v>
      </c>
      <c r="D104" s="86">
        <f>D63+D81+D91+D103</f>
        <v>590279.83000000007</v>
      </c>
      <c r="E104" s="86">
        <f>E63+E81+E91+E103</f>
        <v>998794.84000000008</v>
      </c>
      <c r="F104" s="86">
        <f>F63+F81+F91+F103</f>
        <v>0</v>
      </c>
      <c r="G104" s="86">
        <f>G63+G81+G103</f>
        <v>308158.13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16694032.560000002</v>
      </c>
      <c r="D109" s="24" t="s">
        <v>286</v>
      </c>
      <c r="E109" s="95">
        <f>('DOE25'!L276)+('DOE25'!L295)+('DOE25'!L314)</f>
        <v>288191.45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7291693.9399999995</v>
      </c>
      <c r="D110" s="24" t="s">
        <v>286</v>
      </c>
      <c r="E110" s="95">
        <f>('DOE25'!L277)+('DOE25'!L296)+('DOE25'!L315)</f>
        <v>395377.23000000004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482954.4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887717.44000000018</v>
      </c>
      <c r="D112" s="24" t="s">
        <v>286</v>
      </c>
      <c r="E112" s="95">
        <f>+('DOE25'!L279)+('DOE25'!L298)+('DOE25'!L317)</f>
        <v>54626.68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80849.34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25356398.34</v>
      </c>
      <c r="D115" s="86">
        <f>SUM(D109:D114)</f>
        <v>0</v>
      </c>
      <c r="E115" s="86">
        <f>SUM(E109:E114)</f>
        <v>819044.70000000007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1550086.8699999999</v>
      </c>
      <c r="D118" s="24" t="s">
        <v>286</v>
      </c>
      <c r="E118" s="95">
        <f>+('DOE25'!L281)+('DOE25'!L300)+('DOE25'!L319)</f>
        <v>21334.959999999999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2160590.7699999996</v>
      </c>
      <c r="D119" s="24" t="s">
        <v>286</v>
      </c>
      <c r="E119" s="95">
        <f>+('DOE25'!L282)+('DOE25'!L301)+('DOE25'!L320)</f>
        <v>148129.94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1361492.74</v>
      </c>
      <c r="D120" s="24" t="s">
        <v>286</v>
      </c>
      <c r="E120" s="95">
        <f>+('DOE25'!L283)+('DOE25'!L302)+('DOE25'!L321)</f>
        <v>9552.98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2193152.23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2682901.91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1184572.31</v>
      </c>
      <c r="D124" s="24" t="s">
        <v>286</v>
      </c>
      <c r="E124" s="95">
        <f>+('DOE25'!L287)+('DOE25'!L306)+('DOE25'!L325)</f>
        <v>732.36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599176.75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11132796.83</v>
      </c>
      <c r="D128" s="86">
        <f>SUM(D118:D127)</f>
        <v>599176.75</v>
      </c>
      <c r="E128" s="86">
        <f>SUM(E118:E127)</f>
        <v>179750.24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319000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1185000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720000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306572.55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1585.5799999999995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-8158.1300000000047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2524000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39013195.170000002</v>
      </c>
      <c r="D145" s="86">
        <f>(D115+D128+D144)</f>
        <v>599176.75</v>
      </c>
      <c r="E145" s="86">
        <f>(E115+E128+E144)</f>
        <v>998794.94000000006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1/11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1/32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23650600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3.38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17730000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17730000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1185000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1185000</v>
      </c>
    </row>
    <row r="159" spans="1:9" x14ac:dyDescent="0.2">
      <c r="A159" s="22" t="s">
        <v>35</v>
      </c>
      <c r="B159" s="137">
        <f>'DOE25'!F498</f>
        <v>16545000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16545000</v>
      </c>
    </row>
    <row r="160" spans="1:9" x14ac:dyDescent="0.2">
      <c r="A160" s="22" t="s">
        <v>36</v>
      </c>
      <c r="B160" s="137">
        <f>'DOE25'!F499</f>
        <v>4888050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4888050</v>
      </c>
    </row>
    <row r="161" spans="1:7" x14ac:dyDescent="0.2">
      <c r="A161" s="22" t="s">
        <v>37</v>
      </c>
      <c r="B161" s="137">
        <f>'DOE25'!F500</f>
        <v>21433050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21433050</v>
      </c>
    </row>
    <row r="162" spans="1:7" x14ac:dyDescent="0.2">
      <c r="A162" s="22" t="s">
        <v>38</v>
      </c>
      <c r="B162" s="137">
        <f>'DOE25'!F501</f>
        <v>1185000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1185000</v>
      </c>
    </row>
    <row r="163" spans="1:7" x14ac:dyDescent="0.2">
      <c r="A163" s="22" t="s">
        <v>39</v>
      </c>
      <c r="B163" s="137">
        <f>'DOE25'!F502</f>
        <v>611450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611450</v>
      </c>
    </row>
    <row r="164" spans="1:7" x14ac:dyDescent="0.2">
      <c r="A164" s="22" t="s">
        <v>246</v>
      </c>
      <c r="B164" s="137">
        <f>'DOE25'!F503</f>
        <v>1796450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1796450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topLeftCell="A19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Lebanon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23048</v>
      </c>
    </row>
    <row r="5" spans="1:4" x14ac:dyDescent="0.2">
      <c r="B5" t="s">
        <v>698</v>
      </c>
      <c r="C5" s="179">
        <f>IF('DOE25'!G665+'DOE25'!G670=0,0,ROUND('DOE25'!G672,0))</f>
        <v>19633</v>
      </c>
    </row>
    <row r="6" spans="1:4" x14ac:dyDescent="0.2">
      <c r="B6" t="s">
        <v>62</v>
      </c>
      <c r="C6" s="179">
        <f>IF('DOE25'!H665+'DOE25'!H670=0,0,ROUND('DOE25'!H672,0))</f>
        <v>20220</v>
      </c>
    </row>
    <row r="7" spans="1:4" x14ac:dyDescent="0.2">
      <c r="B7" t="s">
        <v>699</v>
      </c>
      <c r="C7" s="179">
        <f>IF('DOE25'!I665+'DOE25'!I670=0,0,ROUND('DOE25'!I672,0))</f>
        <v>21051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16982224</v>
      </c>
      <c r="D10" s="182">
        <f>ROUND((C10/$C$28)*100,1)</f>
        <v>44.1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7687071</v>
      </c>
      <c r="D11" s="182">
        <f>ROUND((C11/$C$28)*100,1)</f>
        <v>20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482954</v>
      </c>
      <c r="D12" s="182">
        <f>ROUND((C12/$C$28)*100,1)</f>
        <v>1.3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942344</v>
      </c>
      <c r="D13" s="182">
        <f>ROUND((C13/$C$28)*100,1)</f>
        <v>2.4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1571422</v>
      </c>
      <c r="D15" s="182">
        <f t="shared" ref="D15:D27" si="0">ROUND((C15/$C$28)*100,1)</f>
        <v>4.0999999999999996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2308721</v>
      </c>
      <c r="D16" s="182">
        <f t="shared" si="0"/>
        <v>6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1371046</v>
      </c>
      <c r="D17" s="182">
        <f t="shared" si="0"/>
        <v>3.6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2193152</v>
      </c>
      <c r="D18" s="182">
        <f t="shared" si="0"/>
        <v>5.7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2682902</v>
      </c>
      <c r="D20" s="182">
        <f t="shared" si="0"/>
        <v>7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1185305</v>
      </c>
      <c r="D21" s="182">
        <f t="shared" si="0"/>
        <v>3.1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80849</v>
      </c>
      <c r="D24" s="182">
        <f t="shared" si="0"/>
        <v>0.2</v>
      </c>
    </row>
    <row r="25" spans="1:4" x14ac:dyDescent="0.2">
      <c r="A25">
        <v>5120</v>
      </c>
      <c r="B25" t="s">
        <v>714</v>
      </c>
      <c r="C25" s="179">
        <f>ROUND('DOE25'!L261+'DOE25'!L342,0)</f>
        <v>720000</v>
      </c>
      <c r="D25" s="182">
        <f t="shared" si="0"/>
        <v>1.9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257239.05</v>
      </c>
      <c r="D27" s="182">
        <f t="shared" si="0"/>
        <v>0.7</v>
      </c>
    </row>
    <row r="28" spans="1:4" x14ac:dyDescent="0.2">
      <c r="B28" s="187" t="s">
        <v>717</v>
      </c>
      <c r="C28" s="180">
        <f>SUM(C10:C27)</f>
        <v>38465229.049999997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319000</v>
      </c>
    </row>
    <row r="30" spans="1:4" x14ac:dyDescent="0.2">
      <c r="B30" s="187" t="s">
        <v>723</v>
      </c>
      <c r="C30" s="180">
        <f>SUM(C28:C29)</f>
        <v>38784229.049999997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1185000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26488741</v>
      </c>
      <c r="D35" s="182">
        <f t="shared" ref="D35:D40" si="1">ROUND((C35/$C$41)*100,1)</f>
        <v>65.8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4792442.2199999988</v>
      </c>
      <c r="D36" s="182">
        <f t="shared" si="1"/>
        <v>11.9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6343558</v>
      </c>
      <c r="D37" s="182">
        <f t="shared" si="1"/>
        <v>15.8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1141674</v>
      </c>
      <c r="D38" s="182">
        <f t="shared" si="1"/>
        <v>2.8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1473590</v>
      </c>
      <c r="D39" s="182">
        <f t="shared" si="1"/>
        <v>3.7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40240005.219999999</v>
      </c>
      <c r="D41" s="184">
        <f>SUM(D35:D40)</f>
        <v>100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764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761</v>
      </c>
      <c r="B2" s="295"/>
      <c r="C2" s="295"/>
      <c r="D2" s="295"/>
      <c r="E2" s="295"/>
      <c r="F2" s="292" t="str">
        <f>'DOE25'!A2</f>
        <v>Lebanon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0" t="s">
        <v>765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842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2018-09-04T12:54:08Z</cp:lastPrinted>
  <dcterms:created xsi:type="dcterms:W3CDTF">1997-12-04T19:04:30Z</dcterms:created>
  <dcterms:modified xsi:type="dcterms:W3CDTF">2018-12-03T19:14:34Z</dcterms:modified>
</cp:coreProperties>
</file>