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D11" i="13" l="1"/>
  <c r="C37" i="12"/>
  <c r="C38" i="12"/>
  <c r="B37" i="12"/>
  <c r="C39" i="12"/>
  <c r="B39" i="12"/>
  <c r="C19" i="12"/>
  <c r="B19" i="12"/>
  <c r="C20" i="12"/>
  <c r="B21" i="12"/>
  <c r="C10" i="12"/>
  <c r="B10" i="12"/>
  <c r="B12" i="12"/>
  <c r="F12" i="1"/>
  <c r="H12" i="1"/>
  <c r="H22" i="1"/>
  <c r="G24" i="1"/>
  <c r="G40" i="1"/>
  <c r="G13" i="1"/>
  <c r="I12" i="1"/>
  <c r="H49" i="1"/>
  <c r="J593" i="1"/>
  <c r="H592" i="1"/>
  <c r="H591" i="1"/>
  <c r="H244" i="1"/>
  <c r="H208" i="1"/>
  <c r="I234" i="1"/>
  <c r="I198" i="1"/>
  <c r="G198" i="1"/>
  <c r="F198" i="1"/>
  <c r="H28" i="1"/>
  <c r="F49" i="1"/>
  <c r="F14" i="1"/>
  <c r="I613" i="1"/>
  <c r="G613" i="1"/>
  <c r="F613" i="1"/>
  <c r="G612" i="1"/>
  <c r="F612" i="1"/>
  <c r="G611" i="1"/>
  <c r="F611" i="1"/>
  <c r="J604" i="1"/>
  <c r="I604" i="1"/>
  <c r="H604" i="1"/>
  <c r="J595" i="1"/>
  <c r="H595" i="1"/>
  <c r="J594" i="1"/>
  <c r="I594" i="1"/>
  <c r="I591" i="1"/>
  <c r="J591" i="1"/>
  <c r="H584" i="1"/>
  <c r="H234" i="1"/>
  <c r="H146" i="1"/>
  <c r="H13" i="1"/>
  <c r="F468" i="1"/>
  <c r="F57" i="1"/>
  <c r="H400" i="1"/>
  <c r="H399" i="1"/>
  <c r="H397" i="1"/>
  <c r="H396" i="1"/>
  <c r="I360" i="1"/>
  <c r="H360" i="1"/>
  <c r="I359" i="1"/>
  <c r="H358" i="1"/>
  <c r="H359" i="1"/>
  <c r="J324" i="1"/>
  <c r="J305" i="1"/>
  <c r="J286" i="1"/>
  <c r="J314" i="1"/>
  <c r="K295" i="1"/>
  <c r="I276" i="1"/>
  <c r="H319" i="1"/>
  <c r="H300" i="1"/>
  <c r="H281" i="1"/>
  <c r="H296" i="1"/>
  <c r="H277" i="1"/>
  <c r="H282" i="1"/>
  <c r="G276" i="1"/>
  <c r="F276" i="1"/>
  <c r="F282" i="1"/>
  <c r="H320" i="1"/>
  <c r="F320" i="1"/>
  <c r="H301" i="1"/>
  <c r="G282" i="1"/>
  <c r="H243" i="1"/>
  <c r="H225" i="1"/>
  <c r="H207" i="1"/>
  <c r="K243" i="1"/>
  <c r="I241" i="1"/>
  <c r="I223" i="1"/>
  <c r="I240" i="1"/>
  <c r="I222" i="1"/>
  <c r="I204" i="1"/>
  <c r="K240" i="1"/>
  <c r="K222" i="1"/>
  <c r="K204" i="1"/>
  <c r="I239" i="1"/>
  <c r="I221" i="1"/>
  <c r="I203" i="1"/>
  <c r="H203" i="1"/>
  <c r="H238" i="1"/>
  <c r="H220" i="1"/>
  <c r="H202" i="1"/>
  <c r="H235" i="1"/>
  <c r="H216" i="1"/>
  <c r="I233" i="1"/>
  <c r="I197" i="1"/>
  <c r="G244" i="1"/>
  <c r="H245" i="1"/>
  <c r="H209" i="1"/>
  <c r="F244" i="1"/>
  <c r="H226" i="1"/>
  <c r="I244" i="1"/>
  <c r="I226" i="1"/>
  <c r="G226" i="1"/>
  <c r="F226" i="1"/>
  <c r="I208" i="1"/>
  <c r="G208" i="1"/>
  <c r="F208" i="1"/>
  <c r="I243" i="1"/>
  <c r="I225" i="1"/>
  <c r="I207" i="1"/>
  <c r="J243" i="1"/>
  <c r="J225" i="1"/>
  <c r="J207" i="1"/>
  <c r="G243" i="1"/>
  <c r="F243" i="1"/>
  <c r="K225" i="1"/>
  <c r="G225" i="1"/>
  <c r="F225" i="1"/>
  <c r="K207" i="1"/>
  <c r="G207" i="1"/>
  <c r="F207" i="1"/>
  <c r="H241" i="1"/>
  <c r="K241" i="1"/>
  <c r="G241" i="1"/>
  <c r="F241" i="1"/>
  <c r="K223" i="1"/>
  <c r="H223" i="1"/>
  <c r="G223" i="1"/>
  <c r="F223" i="1"/>
  <c r="K205" i="1"/>
  <c r="I205" i="1"/>
  <c r="H205" i="1"/>
  <c r="G205" i="1"/>
  <c r="F205" i="1"/>
  <c r="H240" i="1"/>
  <c r="G240" i="1"/>
  <c r="F240" i="1"/>
  <c r="H222" i="1"/>
  <c r="G222" i="1"/>
  <c r="F222" i="1"/>
  <c r="H204" i="1"/>
  <c r="G204" i="1"/>
  <c r="F204" i="1"/>
  <c r="H239" i="1"/>
  <c r="H221" i="1"/>
  <c r="K239" i="1"/>
  <c r="G239" i="1"/>
  <c r="F239" i="1"/>
  <c r="G221" i="1"/>
  <c r="F221" i="1"/>
  <c r="G203" i="1"/>
  <c r="F203" i="1"/>
  <c r="G202" i="1"/>
  <c r="F202" i="1"/>
  <c r="J238" i="1"/>
  <c r="I238" i="1"/>
  <c r="G238" i="1"/>
  <c r="F238" i="1"/>
  <c r="J220" i="1"/>
  <c r="I220" i="1"/>
  <c r="G220" i="1"/>
  <c r="F220" i="1"/>
  <c r="K202" i="1"/>
  <c r="J202" i="1"/>
  <c r="I202" i="1"/>
  <c r="I236" i="1"/>
  <c r="G236" i="1"/>
  <c r="F236" i="1"/>
  <c r="G218" i="1"/>
  <c r="F218" i="1"/>
  <c r="I200" i="1"/>
  <c r="G200" i="1"/>
  <c r="F200" i="1"/>
  <c r="H236" i="1"/>
  <c r="I218" i="1"/>
  <c r="H218" i="1"/>
  <c r="G234" i="1"/>
  <c r="F234" i="1"/>
  <c r="G216" i="1"/>
  <c r="F216" i="1"/>
  <c r="H198" i="1"/>
  <c r="J216" i="1"/>
  <c r="I216" i="1"/>
  <c r="J233" i="1"/>
  <c r="H233" i="1"/>
  <c r="G233" i="1"/>
  <c r="F233" i="1"/>
  <c r="K215" i="1"/>
  <c r="J215" i="1"/>
  <c r="I215" i="1"/>
  <c r="H215" i="1"/>
  <c r="G215" i="1"/>
  <c r="F215" i="1"/>
  <c r="K197" i="1"/>
  <c r="J197" i="1"/>
  <c r="H197" i="1"/>
  <c r="G197" i="1"/>
  <c r="F197" i="1"/>
  <c r="G158" i="1"/>
  <c r="G97" i="1"/>
  <c r="H155" i="1"/>
  <c r="H159" i="1"/>
  <c r="F120" i="1"/>
  <c r="F110" i="1"/>
  <c r="F64" i="1"/>
  <c r="F28" i="1"/>
  <c r="F9" i="1"/>
  <c r="C45" i="2"/>
  <c r="G51" i="1"/>
  <c r="F51" i="1"/>
  <c r="C37" i="10"/>
  <c r="F40" i="2"/>
  <c r="D39" i="2"/>
  <c r="D34" i="2"/>
  <c r="D35" i="2"/>
  <c r="D36" i="2"/>
  <c r="D38" i="2"/>
  <c r="D42" i="2"/>
  <c r="D43" i="2"/>
  <c r="D44" i="2"/>
  <c r="D47" i="2"/>
  <c r="D48" i="2"/>
  <c r="D50" i="2"/>
  <c r="G655" i="1"/>
  <c r="F48" i="2"/>
  <c r="E48" i="2"/>
  <c r="C48" i="2"/>
  <c r="F47" i="2"/>
  <c r="E47" i="2"/>
  <c r="C47" i="2"/>
  <c r="F44" i="2"/>
  <c r="E44" i="2"/>
  <c r="C44" i="2"/>
  <c r="F43" i="2"/>
  <c r="E43" i="2"/>
  <c r="C43" i="2"/>
  <c r="F42" i="2"/>
  <c r="E42" i="2"/>
  <c r="C42" i="2"/>
  <c r="F38" i="2"/>
  <c r="E38" i="2"/>
  <c r="C38" i="2"/>
  <c r="F36" i="2"/>
  <c r="E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8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 s="1"/>
  <c r="L542" i="1"/>
  <c r="J550" i="1" s="1"/>
  <c r="K550" i="1" s="1"/>
  <c r="L543" i="1"/>
  <c r="J551" i="1" s="1"/>
  <c r="K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F12" i="2"/>
  <c r="F13" i="2"/>
  <c r="F14" i="2"/>
  <c r="F15" i="2"/>
  <c r="F16" i="2"/>
  <c r="F17" i="2"/>
  <c r="F18" i="2"/>
  <c r="I441" i="1"/>
  <c r="J12" i="1"/>
  <c r="G11" i="2"/>
  <c r="C12" i="2"/>
  <c r="D12" i="2"/>
  <c r="E12" i="2"/>
  <c r="I442" i="1"/>
  <c r="J13" i="1"/>
  <c r="G12" i="2"/>
  <c r="C13" i="2"/>
  <c r="D13" i="2"/>
  <c r="E13" i="2"/>
  <c r="I443" i="1"/>
  <c r="J14" i="1"/>
  <c r="G13" i="2"/>
  <c r="C15" i="2"/>
  <c r="D15" i="2"/>
  <c r="E15" i="2"/>
  <c r="C16" i="2"/>
  <c r="D16" i="2"/>
  <c r="E16" i="2"/>
  <c r="I444" i="1"/>
  <c r="J17" i="1"/>
  <c r="C17" i="2"/>
  <c r="D17" i="2"/>
  <c r="E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D24" i="2"/>
  <c r="D27" i="2"/>
  <c r="D28" i="2"/>
  <c r="D29" i="2"/>
  <c r="D30" i="2"/>
  <c r="D31" i="2"/>
  <c r="E23" i="2"/>
  <c r="F23" i="2"/>
  <c r="I450" i="1"/>
  <c r="J24" i="1"/>
  <c r="G23" i="2"/>
  <c r="C24" i="2"/>
  <c r="E24" i="2"/>
  <c r="F24" i="2"/>
  <c r="C25" i="2"/>
  <c r="F25" i="2"/>
  <c r="C26" i="2"/>
  <c r="F26" i="2"/>
  <c r="C27" i="2"/>
  <c r="E27" i="2"/>
  <c r="F27" i="2"/>
  <c r="C28" i="2"/>
  <c r="E28" i="2"/>
  <c r="F28" i="2"/>
  <c r="C29" i="2"/>
  <c r="E29" i="2"/>
  <c r="F29" i="2"/>
  <c r="C30" i="2"/>
  <c r="E30" i="2"/>
  <c r="F30" i="2"/>
  <c r="I451" i="1"/>
  <c r="J31" i="1"/>
  <c r="G30" i="2"/>
  <c r="C34" i="2"/>
  <c r="E34" i="2"/>
  <c r="F34" i="2"/>
  <c r="C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G620" i="1"/>
  <c r="F32" i="1"/>
  <c r="F52" i="1"/>
  <c r="G32" i="1"/>
  <c r="H32" i="1"/>
  <c r="I32" i="1"/>
  <c r="H617" i="1"/>
  <c r="H656" i="1" s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F256" i="1"/>
  <c r="F257" i="1"/>
  <c r="F271" i="1"/>
  <c r="G247" i="1"/>
  <c r="H247" i="1"/>
  <c r="I247" i="1"/>
  <c r="J247" i="1"/>
  <c r="K247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7" i="1"/>
  <c r="H408" i="1"/>
  <c r="H644" i="1"/>
  <c r="I401" i="1"/>
  <c r="F407" i="1"/>
  <c r="G407" i="1"/>
  <c r="I407" i="1"/>
  <c r="F408" i="1"/>
  <c r="G408" i="1"/>
  <c r="H645" i="1"/>
  <c r="G645" i="1"/>
  <c r="J645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K605" i="1"/>
  <c r="G648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7" i="1"/>
  <c r="G649" i="1"/>
  <c r="J649" i="1"/>
  <c r="G650" i="1"/>
  <c r="G651" i="1"/>
  <c r="J651" i="1"/>
  <c r="G652" i="1"/>
  <c r="H652" i="1"/>
  <c r="G653" i="1"/>
  <c r="H653" i="1"/>
  <c r="G654" i="1"/>
  <c r="H654" i="1"/>
  <c r="H655" i="1"/>
  <c r="F192" i="1"/>
  <c r="L256" i="1"/>
  <c r="K257" i="1"/>
  <c r="K271" i="1"/>
  <c r="G164" i="2"/>
  <c r="C18" i="2"/>
  <c r="C26" i="10"/>
  <c r="L328" i="1"/>
  <c r="L351" i="1"/>
  <c r="L29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C91" i="2"/>
  <c r="F78" i="2"/>
  <c r="F81" i="2"/>
  <c r="G157" i="2"/>
  <c r="G161" i="2"/>
  <c r="G156" i="2"/>
  <c r="E115" i="2"/>
  <c r="E103" i="2"/>
  <c r="D91" i="2"/>
  <c r="E62" i="2"/>
  <c r="E63" i="2"/>
  <c r="E31" i="2"/>
  <c r="G62" i="2"/>
  <c r="D19" i="13"/>
  <c r="C19" i="13"/>
  <c r="E13" i="13"/>
  <c r="C13" i="13"/>
  <c r="J617" i="1"/>
  <c r="E78" i="2"/>
  <c r="E81" i="2"/>
  <c r="L427" i="1"/>
  <c r="J257" i="1"/>
  <c r="J271" i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/>
  <c r="H476" i="1"/>
  <c r="H624" i="1"/>
  <c r="J624" i="1"/>
  <c r="F476" i="1"/>
  <c r="H622" i="1"/>
  <c r="I476" i="1"/>
  <c r="H625" i="1"/>
  <c r="J625" i="1"/>
  <c r="G476" i="1"/>
  <c r="H623" i="1"/>
  <c r="G338" i="1"/>
  <c r="G352" i="1"/>
  <c r="F169" i="1"/>
  <c r="J140" i="1"/>
  <c r="F571" i="1"/>
  <c r="I552" i="1"/>
  <c r="G22" i="2"/>
  <c r="K598" i="1"/>
  <c r="G647" i="1"/>
  <c r="J647" i="1"/>
  <c r="K545" i="1"/>
  <c r="H552" i="1"/>
  <c r="C29" i="10"/>
  <c r="H140" i="1"/>
  <c r="L393" i="1"/>
  <c r="F22" i="13"/>
  <c r="H25" i="13"/>
  <c r="C25" i="13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E16" i="13"/>
  <c r="J655" i="1"/>
  <c r="L570" i="1"/>
  <c r="I571" i="1"/>
  <c r="I545" i="1"/>
  <c r="J636" i="1"/>
  <c r="G36" i="2"/>
  <c r="L565" i="1"/>
  <c r="G545" i="1"/>
  <c r="H545" i="1"/>
  <c r="C22" i="13"/>
  <c r="C138" i="2"/>
  <c r="H33" i="13"/>
  <c r="A13" i="12"/>
  <c r="J623" i="1"/>
  <c r="J622" i="1"/>
  <c r="L545" i="1"/>
  <c r="J644" i="1"/>
  <c r="L401" i="1"/>
  <c r="C139" i="2"/>
  <c r="I661" i="1"/>
  <c r="D29" i="13"/>
  <c r="C29" i="13"/>
  <c r="L362" i="1"/>
  <c r="E8" i="13"/>
  <c r="C8" i="13"/>
  <c r="I257" i="1"/>
  <c r="I271" i="1"/>
  <c r="I662" i="1"/>
  <c r="C20" i="10"/>
  <c r="D14" i="13"/>
  <c r="C14" i="13"/>
  <c r="L211" i="1"/>
  <c r="H660" i="1"/>
  <c r="H664" i="1"/>
  <c r="H667" i="1"/>
  <c r="G257" i="1"/>
  <c r="G271" i="1"/>
  <c r="C120" i="2"/>
  <c r="C119" i="2"/>
  <c r="C15" i="10"/>
  <c r="L229" i="1"/>
  <c r="G660" i="1"/>
  <c r="G664" i="1"/>
  <c r="G667" i="1"/>
  <c r="H257" i="1"/>
  <c r="H271" i="1"/>
  <c r="D5" i="13"/>
  <c r="C5" i="13"/>
  <c r="C10" i="10"/>
  <c r="C62" i="2"/>
  <c r="C63" i="2"/>
  <c r="C16" i="13"/>
  <c r="C78" i="2"/>
  <c r="C81" i="2"/>
  <c r="L337" i="1"/>
  <c r="F62" i="2"/>
  <c r="F63" i="2"/>
  <c r="F91" i="2"/>
  <c r="F103" i="2"/>
  <c r="F104" i="2"/>
  <c r="C23" i="10"/>
  <c r="G163" i="2"/>
  <c r="G162" i="2"/>
  <c r="G160" i="2"/>
  <c r="G159" i="2"/>
  <c r="G158" i="2"/>
  <c r="G103" i="2"/>
  <c r="C103" i="2"/>
  <c r="E50" i="2"/>
  <c r="E51" i="2"/>
  <c r="C50" i="2"/>
  <c r="C51" i="2" s="1"/>
  <c r="F31" i="2"/>
  <c r="C31" i="2"/>
  <c r="E18" i="2"/>
  <c r="E144" i="2"/>
  <c r="F50" i="2"/>
  <c r="F51" i="2"/>
  <c r="E145" i="2"/>
  <c r="L338" i="1"/>
  <c r="L352" i="1"/>
  <c r="G633" i="1"/>
  <c r="J633" i="1"/>
  <c r="C24" i="10"/>
  <c r="G31" i="13"/>
  <c r="G33" i="13"/>
  <c r="I338" i="1"/>
  <c r="I352" i="1"/>
  <c r="J650" i="1"/>
  <c r="L407" i="1"/>
  <c r="C140" i="2"/>
  <c r="C141" i="2"/>
  <c r="C144" i="2"/>
  <c r="L571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G42" i="2"/>
  <c r="J51" i="1"/>
  <c r="G16" i="2"/>
  <c r="J19" i="1"/>
  <c r="G621" i="1"/>
  <c r="F33" i="13"/>
  <c r="G18" i="2"/>
  <c r="F545" i="1"/>
  <c r="H434" i="1"/>
  <c r="J620" i="1"/>
  <c r="J619" i="1"/>
  <c r="D103" i="2"/>
  <c r="D104" i="2"/>
  <c r="I140" i="1"/>
  <c r="I193" i="1"/>
  <c r="G630" i="1"/>
  <c r="J630" i="1"/>
  <c r="A22" i="12"/>
  <c r="H646" i="1"/>
  <c r="G50" i="2"/>
  <c r="G51" i="2"/>
  <c r="H648" i="1"/>
  <c r="J648" i="1"/>
  <c r="J652" i="1"/>
  <c r="J642" i="1"/>
  <c r="G571" i="1"/>
  <c r="I434" i="1"/>
  <c r="G434" i="1"/>
  <c r="E104" i="2"/>
  <c r="I663" i="1"/>
  <c r="C27" i="10"/>
  <c r="G635" i="1"/>
  <c r="J635" i="1"/>
  <c r="D31" i="13"/>
  <c r="C31" i="13"/>
  <c r="C128" i="2"/>
  <c r="C145" i="2"/>
  <c r="E33" i="13"/>
  <c r="D35" i="13"/>
  <c r="L257" i="1"/>
  <c r="L271" i="1"/>
  <c r="G632" i="1"/>
  <c r="J632" i="1"/>
  <c r="F660" i="1"/>
  <c r="F664" i="1"/>
  <c r="F667" i="1"/>
  <c r="H672" i="1"/>
  <c r="C6" i="10" s="1"/>
  <c r="G672" i="1"/>
  <c r="C5" i="10"/>
  <c r="C28" i="10"/>
  <c r="D24" i="10"/>
  <c r="C104" i="2"/>
  <c r="G631" i="1"/>
  <c r="J631" i="1"/>
  <c r="J646" i="1"/>
  <c r="G193" i="1"/>
  <c r="G628" i="1"/>
  <c r="J628" i="1"/>
  <c r="G626" i="1"/>
  <c r="J626" i="1"/>
  <c r="J52" i="1"/>
  <c r="H621" i="1"/>
  <c r="J621" i="1"/>
  <c r="C38" i="10"/>
  <c r="D33" i="13"/>
  <c r="D36" i="13"/>
  <c r="F672" i="1"/>
  <c r="C4" i="10"/>
  <c r="I660" i="1"/>
  <c r="I664" i="1"/>
  <c r="D23" i="10"/>
  <c r="D27" i="10"/>
  <c r="D17" i="10"/>
  <c r="D18" i="10"/>
  <c r="D12" i="10"/>
  <c r="D20" i="10"/>
  <c r="D15" i="10"/>
  <c r="D25" i="10"/>
  <c r="D19" i="10"/>
  <c r="D10" i="10"/>
  <c r="D13" i="10"/>
  <c r="D26" i="10"/>
  <c r="D11" i="10"/>
  <c r="C30" i="10"/>
  <c r="D21" i="10"/>
  <c r="D16" i="10"/>
  <c r="D22" i="10"/>
  <c r="C41" i="10"/>
  <c r="D38" i="10"/>
  <c r="I667" i="1"/>
  <c r="D28" i="10"/>
  <c r="D37" i="10"/>
  <c r="D36" i="10"/>
  <c r="D35" i="10"/>
  <c r="D40" i="10"/>
  <c r="D39" i="10"/>
  <c r="D41" i="10"/>
  <c r="I672" i="1" l="1"/>
  <c r="C7" i="10" s="1"/>
  <c r="K549" i="1"/>
  <c r="K552" i="1" s="1"/>
  <c r="J55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<sst xmlns="http://schemas.openxmlformats.org/spreadsheetml/2006/main" count="3958" uniqueCount="914">
  <si>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</si>
  <si>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</si>
  <si>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</si>
  <si>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</si>
  <si>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</si>
  <si>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</si>
  <si>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</si>
  <si>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</si>
  <si>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</si>
  <si>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</si>
  <si>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</si>
  <si>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</si>
  <si>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</si>
  <si>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</si>
  <si>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</si>
  <si>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</si>
  <si>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</si>
  <si>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</si>
  <si>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</si>
  <si>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</si>
  <si>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</si>
  <si>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</si>
  <si>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</si>
  <si>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</si>
  <si>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</si>
  <si>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</si>
  <si>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</si>
  <si>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</si>
  <si>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</si>
  <si>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</si>
  <si>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</si>
  <si>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</si>
  <si>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</si>
  <si>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</si>
  <si>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</si>
  <si>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</si>
  <si>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</si>
  <si>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</si>
  <si>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</si>
  <si>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</si>
  <si>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</si>
  <si>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</si>
  <si>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</si>
  <si>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</si>
  <si>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</si>
  <si>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</si>
  <si>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</si>
  <si>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</si>
  <si>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</si>
  <si>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</si>
  <si>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</si>
  <si>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</si>
  <si>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</si>
  <si>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</si>
  <si>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</si>
  <si>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</si>
  <si>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</si>
  <si>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</si>
  <si>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</si>
  <si>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</si>
  <si>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</si>
  <si>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</si>
  <si>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</si>
  <si>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</si>
  <si>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</si>
  <si>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</si>
  <si>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</si>
  <si>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</si>
  <si>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</si>
  <si>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</si>
  <si>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</si>
  <si>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</si>
  <si>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</si>
  <si>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</si>
  <si>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</si>
  <si>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</si>
  <si>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</si>
  <si>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</si>
  <si>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</si>
  <si>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</si>
  <si>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</si>
  <si>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</si>
  <si>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</si>
  <si>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</si>
  <si>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</si>
  <si>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</si>
  <si>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</si>
  <si>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</si>
  <si>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</si>
  <si>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</si>
  <si>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</si>
  <si>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</si>
  <si>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</si>
  <si>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</si>
  <si>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</si>
  <si>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</si>
  <si>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</si>
  <si>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</si>
  <si>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</si>
  <si>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</si>
  <si>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</si>
  <si>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</si>
  <si>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</si>
  <si>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</si>
  <si>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</si>
  <si>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</si>
  <si>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</si>
  <si>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</si>
  <si>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</si>
  <si>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</si>
  <si>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</si>
  <si>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</si>
  <si>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</si>
  <si>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</si>
  <si>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</si>
  <si>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</si>
  <si>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</si>
  <si>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</si>
  <si>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</si>
  <si>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</si>
  <si>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</si>
  <si>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</si>
  <si>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</si>
  <si>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</si>
  <si>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</si>
  <si>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</si>
  <si>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</si>
  <si>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</si>
  <si>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</si>
  <si>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</si>
  <si>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</si>
  <si>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</si>
  <si>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</si>
  <si>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</si>
  <si>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</si>
  <si>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</si>
  <si>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</si>
  <si>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</si>
  <si>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</si>
  <si>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</si>
  <si>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</si>
  <si>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</si>
  <si>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</si>
  <si>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</si>
  <si>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</si>
  <si>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</si>
  <si>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</si>
  <si>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</si>
  <si>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</si>
  <si>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</si>
  <si>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</si>
  <si>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</si>
  <si>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</si>
  <si>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</si>
  <si>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</si>
  <si>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</si>
  <si>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</si>
  <si>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</si>
  <si>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</si>
  <si>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</si>
  <si>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</si>
  <si>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</si>
  <si>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</si>
  <si>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</si>
  <si>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</si>
  <si>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</si>
  <si>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</si>
  <si>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</si>
  <si>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</si>
  <si>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</si>
  <si>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</si>
  <si>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</si>
  <si>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</si>
  <si>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</si>
  <si>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</si>
  <si>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</si>
  <si>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</si>
  <si>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</si>
  <si>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</si>
  <si>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</si>
  <si>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</si>
  <si>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</si>
  <si>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</si>
  <si>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</si>
  <si>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</si>
  <si>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</si>
  <si>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</si>
  <si>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</si>
  <si>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</si>
  <si>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</si>
  <si>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</si>
  <si>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</si>
  <si>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</si>
  <si>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</si>
  <si>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</si>
  <si>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</si>
  <si>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</si>
  <si>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</si>
  <si>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</si>
  <si>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</si>
  <si>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</si>
  <si>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</si>
  <si>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</si>
  <si>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</si>
  <si>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</si>
  <si>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</si>
  <si>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</si>
  <si>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</si>
  <si>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</si>
  <si>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</si>
  <si>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</si>
  <si>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</si>
  <si>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</si>
  <si>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</si>
  <si>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</si>
  <si>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</si>
  <si>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</si>
  <si>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</si>
  <si>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</si>
  <si>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</si>
  <si>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</si>
  <si>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</si>
  <si>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</si>
  <si>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</si>
  <si>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</si>
  <si>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</si>
  <si>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</si>
  <si>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</si>
  <si>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</si>
  <si>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</si>
  <si>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</si>
  <si>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</si>
  <si>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</si>
  <si>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</si>
  <si>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</si>
  <si>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</si>
  <si>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</si>
  <si>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</si>
  <si>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</si>
  <si>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</si>
  <si>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</si>
  <si>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</si>
  <si>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</si>
  <si>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</si>
  <si>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</si>
  <si>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</si>
  <si>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</si>
  <si>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</si>
  <si>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</si>
  <si>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</si>
  <si>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</si>
  <si>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</si>
  <si>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</si>
  <si>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</si>
  <si>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</si>
  <si>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</si>
  <si>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</si>
  <si>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</si>
  <si>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</si>
  <si>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</si>
  <si>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</si>
  <si>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</si>
  <si>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</si>
  <si>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</si>
  <si>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</si>
  <si>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</si>
  <si>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</si>
  <si>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</si>
  <si>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</si>
  <si>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</si>
  <si>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</si>
  <si>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</si>
  <si>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</si>
  <si>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</si>
  <si>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</si>
  <si>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</si>
  <si>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</si>
  <si>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</si>
  <si>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</si>
  <si>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</si>
  <si>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</si>
  <si>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</si>
  <si>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</si>
  <si>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</si>
  <si>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</si>
  <si>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</si>
  <si>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</si>
  <si>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</si>
  <si>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</si>
  <si>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</si>
  <si>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</si>
  <si>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</si>
  <si>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</si>
  <si>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</si>
  <si>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</si>
  <si>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</si>
  <si>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</si>
  <si>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</si>
  <si>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</si>
  <si>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</si>
  <si>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</si>
  <si>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</si>
  <si>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</si>
  <si>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</si>
  <si>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</si>
  <si>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</si>
  <si>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</si>
  <si>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</si>
  <si>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</si>
  <si>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</si>
  <si>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</si>
  <si>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</si>
  <si>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</si>
  <si>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</si>
  <si>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</si>
  <si>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</si>
  <si>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</si>
  <si>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</si>
  <si>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</si>
  <si>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</si>
  <si>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</si>
  <si>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</si>
  <si>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</si>
  <si>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</si>
  <si>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</si>
  <si>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</si>
  <si>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</si>
  <si>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</si>
  <si>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</si>
  <si>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</si>
  <si>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</si>
  <si>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</si>
  <si>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</si>
  <si>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</si>
  <si>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</si>
  <si>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</si>
  <si>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</si>
  <si>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</si>
  <si>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</si>
  <si>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</si>
  <si>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</si>
  <si>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</si>
  <si>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</si>
  <si>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</si>
  <si>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</si>
  <si>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</si>
  <si>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</si>
  <si>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</si>
  <si>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</si>
  <si>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</si>
  <si>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</si>
  <si>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</si>
  <si>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</si>
  <si>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</si>
  <si>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</si>
  <si>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</si>
  <si>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</si>
  <si>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</si>
  <si>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</si>
  <si>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</si>
  <si>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</si>
  <si>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</si>
  <si>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</si>
  <si>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</si>
  <si>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</si>
  <si>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</si>
  <si>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</si>
  <si>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</si>
  <si>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</si>
  <si>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</si>
  <si>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</si>
  <si>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</si>
  <si>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</si>
  <si>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</si>
  <si>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</si>
  <si>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</si>
  <si>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</si>
  <si>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</si>
  <si>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</si>
  <si>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</si>
  <si>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</si>
  <si>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</si>
  <si>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</si>
  <si>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</si>
  <si>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</si>
  <si>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</si>
  <si>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</si>
  <si>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</si>
  <si>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</si>
  <si>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</si>
  <si>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</si>
  <si>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</si>
  <si>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</si>
  <si>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</si>
  <si>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</si>
  <si>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</si>
  <si>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</si>
  <si>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</si>
  <si>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</si>
  <si>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</si>
  <si>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</si>
  <si>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</si>
  <si>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</si>
  <si>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</si>
  <si>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</si>
  <si>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</si>
  <si>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</si>
  <si>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</si>
  <si>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</si>
  <si>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</si>
  <si>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</si>
  <si>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</si>
  <si>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</si>
  <si>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</si>
  <si>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</si>
  <si>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</si>
  <si>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</si>
  <si>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</si>
  <si>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</si>
  <si>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</si>
  <si>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</si>
  <si>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</si>
  <si>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</si>
  <si>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</si>
  <si>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</si>
  <si>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</si>
  <si>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</si>
  <si>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</si>
  <si>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</si>
  <si>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</si>
  <si>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</si>
  <si>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</si>
  <si>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</si>
  <si>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</si>
  <si>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</si>
  <si>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</si>
  <si>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</si>
  <si>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</si>
  <si>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</si>
  <si>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</si>
  <si>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</si>
  <si>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</si>
  <si>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</si>
  <si>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</si>
  <si>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</si>
  <si>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</si>
  <si>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</si>
  <si>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</si>
  <si>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</si>
  <si>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</si>
  <si>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</si>
  <si>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</si>
  <si>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</si>
  <si>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</si>
  <si>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</si>
  <si>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</si>
  <si>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</si>
  <si>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</si>
  <si>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</si>
  <si>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</si>
  <si>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</si>
  <si>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</si>
  <si>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</si>
  <si>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</si>
  <si>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</si>
  <si>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</si>
  <si>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</si>
  <si>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</si>
  <si>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</si>
  <si>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</si>
  <si>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</si>
  <si>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</si>
  <si>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</si>
  <si>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</si>
  <si>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</si>
  <si>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</si>
  <si>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</si>
  <si>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</si>
  <si>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</si>
  <si>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</si>
  <si>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</si>
  <si>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</si>
  <si>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</si>
  <si>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</si>
  <si>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</si>
  <si>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</si>
  <si>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</si>
  <si>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</si>
  <si>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</si>
  <si>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</si>
  <si>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</si>
  <si>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</si>
  <si>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</si>
  <si>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</si>
  <si>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</si>
  <si>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</si>
  <si>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</si>
  <si>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</si>
  <si>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</si>
  <si>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</si>
  <si>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</si>
  <si>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</si>
  <si>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</si>
  <si>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</si>
  <si>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</si>
  <si>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</si>
  <si>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</si>
  <si>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</si>
  <si>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</si>
  <si>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</si>
  <si>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</si>
  <si>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</si>
  <si>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</si>
  <si>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</si>
  <si>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</si>
  <si>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</si>
  <si>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</si>
  <si>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</si>
  <si>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</si>
  <si>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</si>
  <si>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</si>
  <si>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</si>
  <si>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</si>
  <si>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</si>
  <si>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</si>
  <si>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</si>
  <si>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</si>
  <si>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</si>
  <si>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</si>
  <si>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</si>
  <si>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</si>
  <si>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</si>
  <si>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</si>
  <si>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</si>
  <si>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</si>
  <si>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</si>
  <si>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</si>
  <si>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</si>
  <si>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</si>
  <si>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</si>
  <si>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</si>
  <si>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</si>
  <si>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</si>
  <si>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</si>
  <si>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</si>
  <si>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</si>
  <si>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</si>
  <si>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</si>
  <si>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</si>
  <si>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</si>
  <si>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</si>
  <si>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</si>
  <si>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</si>
  <si>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</si>
  <si>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</si>
  <si>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</si>
  <si>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</si>
  <si>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</si>
  <si>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</si>
  <si>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</si>
  <si>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</si>
  <si>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</si>
  <si>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</si>
  <si>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</si>
  <si>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</si>
  <si>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</si>
  <si>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</si>
  <si>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</si>
  <si>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</si>
  <si>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</si>
  <si>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</si>
  <si>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</si>
  <si>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</si>
  <si>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</si>
  <si>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</si>
  <si>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</si>
  <si>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</si>
  <si>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</si>
  <si>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</si>
  <si>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</si>
  <si>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</si>
  <si>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</si>
  <si>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</si>
  <si>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</si>
  <si>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</si>
  <si>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</si>
  <si>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</si>
  <si>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</si>
  <si>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</si>
  <si>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</si>
  <si>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</si>
  <si>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</si>
  <si>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</si>
  <si>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</si>
  <si>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</si>
  <si>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</si>
  <si>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</si>
  <si>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</si>
  <si>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</si>
  <si>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</si>
  <si>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</si>
  <si>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</si>
  <si>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</si>
  <si>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</si>
  <si>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</si>
  <si>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</si>
  <si>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</si>
  <si>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</si>
  <si>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</si>
  <si>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</si>
  <si>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</si>
  <si>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</si>
  <si>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</si>
  <si>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</si>
  <si>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</si>
  <si>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</si>
  <si>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</si>
  <si>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</si>
  <si>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</si>
  <si>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</si>
  <si>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</si>
  <si>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</si>
  <si>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</si>
  <si>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</si>
  <si>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</si>
  <si>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</si>
  <si>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</si>
  <si>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</si>
  <si>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</si>
  <si>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</si>
  <si>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</si>
  <si>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</si>
  <si>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</si>
  <si>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</si>
  <si>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</si>
  <si>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</si>
  <si>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</si>
  <si>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</si>
  <si>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</si>
  <si>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</si>
  <si>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</si>
  <si>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</si>
  <si>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</si>
  <si>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</si>
  <si>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</si>
  <si>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</si>
  <si>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</si>
  <si>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</si>
  <si>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</si>
  <si>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</si>
  <si>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</si>
  <si>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</si>
  <si>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</si>
  <si>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</si>
  <si>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</si>
  <si>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</si>
  <si>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</si>
  <si>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</si>
  <si>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</si>
  <si>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</si>
  <si>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</si>
  <si>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</si>
  <si>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</si>
  <si>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</si>
  <si>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</si>
  <si>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</si>
  <si>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</si>
  <si>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</si>
  <si>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</si>
  <si>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</si>
  <si>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</si>
  <si>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</si>
  <si>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</si>
  <si>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</si>
  <si>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</si>
  <si>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</si>
  <si>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</si>
  <si>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</si>
  <si>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</si>
  <si>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</si>
  <si>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</si>
  <si>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</si>
  <si>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</si>
  <si>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</si>
  <si>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</si>
  <si>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</si>
  <si>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</si>
  <si>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</si>
  <si>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</si>
  <si>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</si>
  <si>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</si>
  <si>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</si>
  <si>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</si>
  <si>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</si>
  <si>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</si>
  <si>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</si>
  <si>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</si>
  <si>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</si>
  <si>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</si>
  <si>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</si>
  <si>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</si>
  <si>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</si>
  <si>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</si>
  <si>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</si>
  <si>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</si>
  <si>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</si>
  <si>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</si>
  <si>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</si>
  <si>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</si>
  <si>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</si>
  <si>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</si>
  <si>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</si>
  <si>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</si>
  <si>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</si>
  <si>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</si>
  <si>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</si>
  <si>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</si>
  <si>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</si>
  <si>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</si>
  <si>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</si>
  <si>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</si>
  <si>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</si>
  <si>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</si>
  <si>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</si>
  <si>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</si>
  <si>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</si>
  <si>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</si>
  <si>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</si>
  <si>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</si>
  <si>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</si>
  <si>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</si>
  <si>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</si>
  <si>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</si>
  <si>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</si>
  <si>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</si>
  <si>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</si>
  <si>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</si>
  <si>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</si>
  <si>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</si>
  <si>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</si>
  <si>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</si>
  <si>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</si>
  <si>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</si>
  <si>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</si>
  <si>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</si>
  <si>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</si>
  <si>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</si>
  <si>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</si>
  <si>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</si>
  <si>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</si>
  <si>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</si>
  <si>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</si>
  <si>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</si>
  <si>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</si>
  <si>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</si>
  <si>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</si>
  <si>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</si>
  <si>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</si>
  <si>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</si>
  <si>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</si>
  <si>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</si>
  <si>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</si>
  <si>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</si>
  <si>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</si>
  <si>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</si>
  <si>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</si>
  <si>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</si>
  <si>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</si>
  <si>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</si>
  <si>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</si>
  <si>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</si>
  <si>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</si>
  <si>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</si>
  <si>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</si>
  <si>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</si>
  <si>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</si>
  <si>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</si>
  <si>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</si>
  <si>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</si>
  <si>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</si>
  <si>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</si>
  <si>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</si>
  <si>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</si>
  <si>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</si>
  <si>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</si>
  <si>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</si>
  <si>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</si>
  <si>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</si>
  <si>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</si>
  <si>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</si>
  <si>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</si>
  <si>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</si>
  <si>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</si>
  <si>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</si>
  <si>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</si>
  <si>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</si>
  <si>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</si>
  <si>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</si>
  <si>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</si>
  <si>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</si>
  <si>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</si>
  <si>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</si>
  <si>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</si>
  <si>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</si>
  <si>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</si>
  <si>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</si>
  <si>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</si>
  <si>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</si>
  <si>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</si>
  <si>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</si>
  <si>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</si>
  <si>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</si>
  <si>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</si>
  <si>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</si>
  <si>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</si>
  <si>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</si>
  <si>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</si>
  <si>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</si>
  <si>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</si>
  <si>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</si>
  <si>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</si>
  <si>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</si>
  <si>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</si>
  <si>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</si>
  <si>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</si>
  <si>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</si>
  <si>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</si>
  <si>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</si>
  <si>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</si>
  <si>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</si>
  <si>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</si>
  <si>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</si>
  <si>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</si>
  <si>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</si>
  <si>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</si>
  <si>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</si>
  <si>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</si>
  <si>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</si>
  <si>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</si>
  <si>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</si>
  <si>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</si>
  <si>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</si>
  <si>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</si>
  <si>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</si>
  <si>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</si>
  <si>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</si>
  <si>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</si>
  <si>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</si>
  <si>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</si>
  <si>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</si>
  <si>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</si>
  <si>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</si>
  <si>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</si>
  <si>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</si>
  <si>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</si>
  <si>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</si>
  <si>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</si>
  <si>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</si>
  <si>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</si>
  <si>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</si>
  <si>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</si>
  <si>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</si>
  <si>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</si>
  <si>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</si>
  <si>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</si>
  <si>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</si>
  <si>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</si>
  <si>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</si>
  <si>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</si>
  <si>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</si>
  <si>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</si>
  <si>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</si>
  <si>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</si>
  <si>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</si>
  <si>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</si>
  <si>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</si>
  <si>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</si>
  <si>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</si>
  <si>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</si>
  <si>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</si>
  <si>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</si>
  <si>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</si>
  <si>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</si>
  <si>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</si>
  <si>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</si>
  <si>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</si>
  <si>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</si>
  <si>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</si>
  <si>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</si>
  <si>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</si>
  <si>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</si>
  <si>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</si>
  <si>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</si>
  <si>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</si>
  <si>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</si>
  <si>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</si>
  <si>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</si>
  <si>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</si>
  <si>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</si>
  <si>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</si>
  <si>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</si>
  <si>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</si>
  <si>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</si>
  <si>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</si>
  <si>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</si>
  <si>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</si>
  <si>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</si>
  <si>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</si>
  <si>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</si>
  <si>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</si>
  <si>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</si>
  <si>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</si>
  <si>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Lincoln-Woodstock Cooperative School District</t>
  </si>
  <si>
    <t>Fresh Fruits and Vegetables 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</si>
</sst>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305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745421.74+4098.83</f>
        <v>749520.57</v>
      </c>
      <c r="G9" s="18"/>
      <c r="H9" s="18"/>
      <c r="I9" s="18"/>
      <c r="J9" s="67">
        <f>SUM(I439)</f>
        <v>450319.59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1007949.35-65667.02-473790.87-123980.98+6999.99</f>
        <v>351510.47</v>
      </c>
      <c r="G12" s="18">
        <v>1277</v>
      </c>
      <c r="H12" s="18">
        <f>398.96+41046.93-58915.61+7340+20486.79+2733.04+3472.6</f>
        <v>16562.71</v>
      </c>
      <c r="I12" s="18">
        <f>-473790.87+473790.87+123980.98</f>
        <v>123980.98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f>3735.57</f>
        <v>3735.57</v>
      </c>
      <c r="H13" s="18">
        <f>2562.48+20898.27+64587.9+19021.89</f>
        <v>107070.54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23164.61+2550</f>
        <v>25714.61</v>
      </c>
      <c r="G14" s="18">
        <v>4201.1000000000004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83953.94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1210699.5900000001</v>
      </c>
      <c r="G19" s="41">
        <f>SUM(G9:G18)</f>
        <v>9213.67</v>
      </c>
      <c r="H19" s="41">
        <f>SUM(H9:H18)</f>
        <v>123633.25</v>
      </c>
      <c r="I19" s="41">
        <f>SUM(I9:I18)</f>
        <v>123980.98</v>
      </c>
      <c r="J19" s="41">
        <f>SUM(J9:J18)</f>
        <v>450319.59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535105.28000000003</v>
      </c>
      <c r="G22" s="18"/>
      <c r="H22" s="18">
        <f>1654.1+41352.02+6979.63+7340+20486.79+676+19021.89</f>
        <v>97510.43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>
        <f>1383.67+170-1383.67</f>
        <v>170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342926.52+5507.31-78734.68-1575.56-1092.45</f>
        <v>267031.14</v>
      </c>
      <c r="G28" s="18"/>
      <c r="H28" s="18">
        <f>18984.85</f>
        <v>18984.849999999999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26587.5</v>
      </c>
      <c r="G30" s="18"/>
      <c r="H30" s="18">
        <v>2057.04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828723.92</v>
      </c>
      <c r="G32" s="41">
        <f>SUM(G22:G31)</f>
        <v>170</v>
      </c>
      <c r="H32" s="41">
        <f>SUM(H22:H31)</f>
        <v>118552.31999999999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5483.33+2176.67+1383.67</f>
        <v>9043.67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>
        <v>95000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v>28980.98</v>
      </c>
      <c r="J48" s="13">
        <f>SUM(I459)</f>
        <v>450319.59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17103.14+19250</f>
        <v>36353.14</v>
      </c>
      <c r="G49" s="18"/>
      <c r="H49" s="18">
        <f>1307.34+1608.33+1307.34+857.92</f>
        <v>5080.93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702034.41-19250-37363.82-399798.06-100000</f>
        <v>145622.53000000009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381975.6700000001</v>
      </c>
      <c r="G51" s="41">
        <f>SUM(G35:G50)</f>
        <v>9043.67</v>
      </c>
      <c r="H51" s="41">
        <f>SUM(H35:H50)</f>
        <v>5080.93</v>
      </c>
      <c r="I51" s="41">
        <f>SUM(I35:I50)</f>
        <v>123980.98</v>
      </c>
      <c r="J51" s="41">
        <f>SUM(J35:J50)</f>
        <v>450319.59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1210699.5900000001</v>
      </c>
      <c r="G52" s="41">
        <f>G51+G32</f>
        <v>9213.67</v>
      </c>
      <c r="H52" s="41">
        <f>H51+H32</f>
        <v>123633.25</v>
      </c>
      <c r="I52" s="41">
        <f>I51+I32</f>
        <v>123980.98</v>
      </c>
      <c r="J52" s="41">
        <f>J51+J32</f>
        <v>450319.59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4325304-140000</f>
        <v>4185304</v>
      </c>
      <c r="G57" s="18"/>
      <c r="H57" s="18"/>
      <c r="I57" s="18">
        <v>140000</v>
      </c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4185304</v>
      </c>
      <c r="G60" s="41">
        <f>SUM(G57:G59)</f>
        <v>0</v>
      </c>
      <c r="H60" s="41">
        <f>SUM(H57:H59)</f>
        <v>0</v>
      </c>
      <c r="I60" s="41">
        <f>SUM(I57:I59)</f>
        <v>140000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f>350</f>
        <v>350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19800</v>
      </c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20150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0.3</v>
      </c>
      <c r="G96" s="18"/>
      <c r="H96" s="18"/>
      <c r="I96" s="18"/>
      <c r="J96" s="18">
        <v>1343.94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5138.9+32636.4+10770.18+7160.57+5368</f>
        <v>61074.05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1386.15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2590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545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10978.87+1923.53</f>
        <v>12902.400000000001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17423.850000000002</v>
      </c>
      <c r="G111" s="41">
        <f>SUM(G96:G110)</f>
        <v>61074.05</v>
      </c>
      <c r="H111" s="41">
        <f>SUM(H96:H110)</f>
        <v>0</v>
      </c>
      <c r="I111" s="41">
        <f>SUM(I96:I110)</f>
        <v>0</v>
      </c>
      <c r="J111" s="41">
        <f>SUM(J96:J110)</f>
        <v>1343.94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4222877.8499999996</v>
      </c>
      <c r="G112" s="41">
        <f>G60+G111</f>
        <v>61074.05</v>
      </c>
      <c r="H112" s="41">
        <f>H60+H79+H94+H111</f>
        <v>0</v>
      </c>
      <c r="I112" s="41">
        <f>I60+I111</f>
        <v>140000</v>
      </c>
      <c r="J112" s="41">
        <f>J60+J111</f>
        <v>1343.94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347133.26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2511395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766.34+1393.54</f>
        <v>2159.88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2860688.1399999997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12406.4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6500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1796.19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19021.89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12406.4</v>
      </c>
      <c r="G136" s="41">
        <f>SUM(G123:G135)</f>
        <v>1796.19</v>
      </c>
      <c r="H136" s="41">
        <f>SUM(H123:H135)</f>
        <v>25521.89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2873094.5399999996</v>
      </c>
      <c r="G140" s="41">
        <f>G121+SUM(G136:G137)</f>
        <v>1796.19</v>
      </c>
      <c r="H140" s="41">
        <f>H121+SUM(H136:H139)</f>
        <v>25521.89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>
        <f>7172.89</f>
        <v>7172.89</v>
      </c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7172.89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105913.42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47783.93+9706.48</f>
        <v>57490.41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4826.34+8926.13+53797.48+5744.88</f>
        <v>73294.83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72799.15</f>
        <v>72799.149999999994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37166.480000000003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37166.480000000003</v>
      </c>
      <c r="G162" s="41">
        <f>SUM(G150:G161)</f>
        <v>73294.83</v>
      </c>
      <c r="H162" s="41">
        <f>SUM(H150:H161)</f>
        <v>236202.98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49072.55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86239.03</v>
      </c>
      <c r="G169" s="41">
        <f>G147+G162+SUM(G163:G168)</f>
        <v>73294.83</v>
      </c>
      <c r="H169" s="41">
        <f>H147+H162+SUM(H163:H168)</f>
        <v>243375.87000000002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37038.58</v>
      </c>
      <c r="H179" s="18"/>
      <c r="I179" s="18"/>
      <c r="J179" s="18">
        <v>100000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37038.58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37038.58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7182211.419999999</v>
      </c>
      <c r="G193" s="47">
        <f>G112+G140+G169+G192</f>
        <v>173203.65000000002</v>
      </c>
      <c r="H193" s="47">
        <f>H112+H140+H169+H192</f>
        <v>268897.76</v>
      </c>
      <c r="I193" s="47">
        <f>I112+I140+I169+I192</f>
        <v>140000</v>
      </c>
      <c r="J193" s="47">
        <f>J112+J140+J192</f>
        <v>101343.94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831854.61+38349.95</f>
        <v>870204.55999999994</v>
      </c>
      <c r="G197" s="18">
        <f>316242.68+6629.6+864.78+172.08+61786.77+170.7+153146.94+861.74+4702.61</f>
        <v>544577.9</v>
      </c>
      <c r="H197" s="18">
        <f>13500.09+4099.49+6658.53+150.87</f>
        <v>24408.98</v>
      </c>
      <c r="I197" s="18">
        <f>12765.64+8405.93+10452.98+872.3+512+518.89+1958.9+131.37</f>
        <v>35618.01</v>
      </c>
      <c r="J197" s="18">
        <f>329.16+2835.63+2649.6+4391.72+5444.83+636</f>
        <v>16286.94</v>
      </c>
      <c r="K197" s="18">
        <f>2009.9</f>
        <v>2009.9</v>
      </c>
      <c r="L197" s="19">
        <f>SUM(F197:K197)</f>
        <v>1493106.2899999998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241492.55+46756.03+2953.75+2000+33251.4</f>
        <v>326453.73</v>
      </c>
      <c r="G198" s="18">
        <f>75872.49+2079.72+182.74+20662.19+10079.9+25352.71+284.62+1553.18+221.73+107.55+167.09+3.06+16.7+131.37+68.28+243.04+9004.59+260.1+2390.47+5772.44</f>
        <v>154453.97</v>
      </c>
      <c r="H198" s="18">
        <f>494+364.96+36.41+46.01+296</f>
        <v>1237.3800000000001</v>
      </c>
      <c r="I198" s="18">
        <f>0.91+421.7+75.93+1166.64+85</f>
        <v>1750.18</v>
      </c>
      <c r="J198" s="18"/>
      <c r="K198" s="18">
        <v>165</v>
      </c>
      <c r="L198" s="19">
        <f>SUM(F198:K198)</f>
        <v>484060.25999999995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689+11525</f>
        <v>12214</v>
      </c>
      <c r="G200" s="18">
        <f>48.69+119.61+867.6+400.01+620.62</f>
        <v>2056.5300000000002</v>
      </c>
      <c r="H200" s="18"/>
      <c r="I200" s="18">
        <f>170.53</f>
        <v>170.53</v>
      </c>
      <c r="J200" s="18"/>
      <c r="K200" s="18"/>
      <c r="L200" s="19">
        <f>SUM(F200:K200)</f>
        <v>14441.060000000001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52334+16222.44+21763.25+350</f>
        <v>90669.69</v>
      </c>
      <c r="G202" s="18">
        <f>23946.37+384.33+52.64+3654.29+9085.17+54.21+295.85+10775.75+173.04+52.64+1016.06+2816.09+16.81+91.71+17736.2+384.33+13.16+1338.28+2476.63+22.55+123.03+26.78+39.84</f>
        <v>74575.760000000009</v>
      </c>
      <c r="H202" s="18">
        <f>330.19+87.74+1800+46471.41+45092.32+996.78+13650+54255.26+1369.9+56.76</f>
        <v>164110.36000000002</v>
      </c>
      <c r="I202" s="18">
        <f>177.73+55.43+412.1+136.01</f>
        <v>781.27</v>
      </c>
      <c r="J202" s="18">
        <f>114.57</f>
        <v>114.57</v>
      </c>
      <c r="K202" s="18">
        <f>204+45</f>
        <v>249</v>
      </c>
      <c r="L202" s="19">
        <f t="shared" ref="L202:L208" si="0">SUM(F202:K202)</f>
        <v>330500.65000000008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2000+26415.08</f>
        <v>28415.08</v>
      </c>
      <c r="G203" s="18">
        <f>139.54+347.2+4833.01+675+289+5675.67+123.08+23.37+1915.48+529.78+3777.53+27.36+149.33</f>
        <v>18505.350000000002</v>
      </c>
      <c r="H203" s="18">
        <f>3941.12+50+729</f>
        <v>4720.12</v>
      </c>
      <c r="I203" s="18">
        <f>1530.56+238.17+2098.7+563.87+582.53+654.28+314.55+135.73</f>
        <v>6118.3899999999994</v>
      </c>
      <c r="J203" s="18"/>
      <c r="K203" s="18"/>
      <c r="L203" s="19">
        <f t="shared" si="0"/>
        <v>57758.94000000001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3487.5+405+1755+459+160060.81</f>
        <v>166167.31</v>
      </c>
      <c r="G204" s="18">
        <f>266.83-1324.65+4.54+28.37+46.01+134.24+34.48+41636.35+860.79+344.51+11429.81+8101.77+5624.58+165.81+904.85+1677.55</f>
        <v>69935.840000000011</v>
      </c>
      <c r="H204" s="18">
        <f>1430.02+529.64+5040+8981.87+7826.18+511.6+5130+850.42+355.96+10564.43+108.48+2559.79</f>
        <v>43888.39</v>
      </c>
      <c r="I204" s="18">
        <f>13.5+37.05+288.1+1435.3+757.72+167.52+53.1+13.61+13.64</f>
        <v>2779.54</v>
      </c>
      <c r="J204" s="18"/>
      <c r="K204" s="18">
        <f>1488.82+67.93+1157.13+454.4+124.3</f>
        <v>3292.5800000000004</v>
      </c>
      <c r="L204" s="19">
        <f t="shared" si="0"/>
        <v>286063.66000000003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95100.57</f>
        <v>95100.57</v>
      </c>
      <c r="G205" s="18">
        <f>18978.2+691.95+211.06+6907.78+2727.41+12348.8+98.52+537.62+1020</f>
        <v>43521.34</v>
      </c>
      <c r="H205" s="18">
        <f>203.85+3756.96+819.58+1673.99+179.71</f>
        <v>6634.09</v>
      </c>
      <c r="I205" s="18">
        <f>1215.13+38.52</f>
        <v>1253.6500000000001</v>
      </c>
      <c r="J205" s="18"/>
      <c r="K205" s="18">
        <f>1602.25+501.3</f>
        <v>2103.5500000000002</v>
      </c>
      <c r="L205" s="19">
        <f t="shared" si="0"/>
        <v>148613.19999999998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42158.51</f>
        <v>42158.51</v>
      </c>
      <c r="G207" s="18">
        <f>12278.99+266.11+31.49+3087.54+4164.42+43.67+238.33</f>
        <v>20110.550000000003</v>
      </c>
      <c r="H207" s="18">
        <f>16066.42+2633.53+351.54+5759.33+515.22+3978.45+1504.32+107.55+131.07+115.31+10.97</f>
        <v>31173.710000000003</v>
      </c>
      <c r="I207" s="18">
        <f>12421.88+25687.04+22487.15+423.07+158.75+480.59</f>
        <v>61658.479999999996</v>
      </c>
      <c r="J207" s="18">
        <f>3687.05+237.18+1602.48</f>
        <v>5526.71</v>
      </c>
      <c r="K207" s="18">
        <f>8808.71</f>
        <v>8808.7099999999991</v>
      </c>
      <c r="L207" s="19">
        <f t="shared" si="0"/>
        <v>169436.66999999998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3436.71</f>
        <v>3436.71</v>
      </c>
      <c r="G208" s="18">
        <f>1051.04+22.66+19.96+249.38+142.07+9.76+3.56+19.43</f>
        <v>1517.86</v>
      </c>
      <c r="H208" s="18">
        <f>1112.7+37755.9+2978.96+1270.5+308+308+297+308+308+582+582</f>
        <v>45811.06</v>
      </c>
      <c r="I208" s="18">
        <f>6.72+1901.72</f>
        <v>1908.44</v>
      </c>
      <c r="J208" s="18"/>
      <c r="K208" s="18"/>
      <c r="L208" s="19">
        <f t="shared" si="0"/>
        <v>52674.07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f>335.7</f>
        <v>335.7</v>
      </c>
      <c r="I209" s="18"/>
      <c r="J209" s="18"/>
      <c r="K209" s="18"/>
      <c r="L209" s="19">
        <f>SUM(F209:K209)</f>
        <v>335.7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1634820.1600000001</v>
      </c>
      <c r="G211" s="41">
        <f t="shared" si="1"/>
        <v>929255.1</v>
      </c>
      <c r="H211" s="41">
        <f t="shared" si="1"/>
        <v>322319.79000000004</v>
      </c>
      <c r="I211" s="41">
        <f t="shared" si="1"/>
        <v>112038.48999999999</v>
      </c>
      <c r="J211" s="41">
        <f t="shared" si="1"/>
        <v>21928.22</v>
      </c>
      <c r="K211" s="41">
        <f t="shared" si="1"/>
        <v>16628.739999999998</v>
      </c>
      <c r="L211" s="41">
        <f t="shared" si="1"/>
        <v>3036990.5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447739.34+11773.84</f>
        <v>459513.18000000005</v>
      </c>
      <c r="G215" s="18">
        <f>128395.65+3704.74+373.5+88.02+32930.77+28.45+78568.65+463.83+2531.15</f>
        <v>247084.75999999995</v>
      </c>
      <c r="H215" s="18">
        <f>7271.6+1739.09+3403.25</f>
        <v>12413.94</v>
      </c>
      <c r="I215" s="18">
        <f>4329.48+479.26+2517.14+488.29+117.04</f>
        <v>7931.2099999999991</v>
      </c>
      <c r="J215" s="18">
        <f>847.46+167.95+2849.88+179.99+2962.9</f>
        <v>7008.18</v>
      </c>
      <c r="K215" s="18">
        <f>1669.25</f>
        <v>1669.25</v>
      </c>
      <c r="L215" s="19">
        <f>SUM(F215:K215)</f>
        <v>735620.5199999999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84366.85+337.5+1225</f>
        <v>85929.35</v>
      </c>
      <c r="G216" s="18">
        <f>23978.98+385.75+65.8+5917.9+2310.59+11121.26+87.4+476.94+86.33+212.66+1.27+6.93</f>
        <v>44651.810000000005</v>
      </c>
      <c r="H216" s="18">
        <f>125.88+18.62+629</f>
        <v>773.5</v>
      </c>
      <c r="I216" s="18">
        <f>132.1+283.52</f>
        <v>415.62</v>
      </c>
      <c r="J216" s="18">
        <f>393.26</f>
        <v>393.26</v>
      </c>
      <c r="K216" s="18"/>
      <c r="L216" s="19">
        <f>SUM(F216:K216)</f>
        <v>132163.54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10307+700</f>
        <v>11007</v>
      </c>
      <c r="G218" s="18">
        <f>811.79+1181.69+11.39+62.17+53.55+121.52</f>
        <v>2242.11</v>
      </c>
      <c r="H218" s="18">
        <f>2962</f>
        <v>2962</v>
      </c>
      <c r="I218" s="18">
        <f>492.14</f>
        <v>492.14</v>
      </c>
      <c r="J218" s="18"/>
      <c r="K218" s="18">
        <v>680</v>
      </c>
      <c r="L218" s="19">
        <f>SUM(F218:K218)</f>
        <v>17383.25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36489.24+8291.41</f>
        <v>44780.649999999994</v>
      </c>
      <c r="G220" s="18">
        <f>17560.02+326.74+5.88+2468.08+1819.48+3559.16+37.8+206.28+5507.5+88.43+519.23+1439.37+8.59+46.87</f>
        <v>33593.43</v>
      </c>
      <c r="H220" s="18">
        <f>168.75+1162.5+23327.28+18.02+29.67</f>
        <v>24706.219999999998</v>
      </c>
      <c r="I220" s="18">
        <f>13.54+161.08+69.52</f>
        <v>244.14</v>
      </c>
      <c r="J220" s="18">
        <f>58.56</f>
        <v>58.56</v>
      </c>
      <c r="K220" s="18"/>
      <c r="L220" s="19">
        <f t="shared" ref="L220:L226" si="2">SUM(F220:K220)</f>
        <v>103382.99999999999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1000+18914.89</f>
        <v>19914.89</v>
      </c>
      <c r="G221" s="18">
        <f>70.71+173.58+3385.73+269+4079.39+88.43+15.03+1371.27+372.72+2714.95+19.59+106.93</f>
        <v>12667.329999999998</v>
      </c>
      <c r="H221" s="18">
        <f>1112+570.23+50</f>
        <v>1732.23</v>
      </c>
      <c r="I221" s="18">
        <f>383.23+135.61+2297.41+306.21+423.14+982.04+160.77+35.05</f>
        <v>4723.46</v>
      </c>
      <c r="J221" s="18"/>
      <c r="K221" s="18"/>
      <c r="L221" s="19">
        <f t="shared" si="2"/>
        <v>39037.909999999996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1782.5+207+897+234.6+81799.52</f>
        <v>84920.62000000001</v>
      </c>
      <c r="G222" s="18">
        <f>136.38+53.47+2.34+14.56+23.6+68.6+17.61+20548.72+439.84+177.74+5841.63+4140.05+2874.82+84.74+462.43+740.37</f>
        <v>35626.900000000009</v>
      </c>
      <c r="H222" s="18">
        <f>747.5+270.72+2576+4610.32+4000.04+261.49+2622+434.64+181.95+5399.6+110.66+1362.68</f>
        <v>22577.600000000002</v>
      </c>
      <c r="I222" s="18">
        <f>6.9+18.87+147.28+758.44+387.27+85.63+27.14+7.13+7.13</f>
        <v>1445.7900000000002</v>
      </c>
      <c r="J222" s="18"/>
      <c r="K222" s="18">
        <f>760.95+34.72+591.42+120.46+64.98</f>
        <v>1572.5300000000002</v>
      </c>
      <c r="L222" s="19">
        <f t="shared" si="2"/>
        <v>146143.44000000003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70357.53</f>
        <v>70357.53</v>
      </c>
      <c r="G223" s="18">
        <f>19333.56+403.7+85.44+4800.74+1432.03+10040.82+72.89+397.74+350</f>
        <v>36916.92</v>
      </c>
      <c r="H223" s="18">
        <f>104.19+1920.24+396.62+538.59+105.64</f>
        <v>3065.28</v>
      </c>
      <c r="I223" s="18">
        <f>413.83+19.69+175+65.16+255</f>
        <v>928.68</v>
      </c>
      <c r="J223" s="18"/>
      <c r="K223" s="18">
        <f>1519.25+174.42</f>
        <v>1693.67</v>
      </c>
      <c r="L223" s="19">
        <f t="shared" si="2"/>
        <v>112962.07999999999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39811.97</f>
        <v>39811.97</v>
      </c>
      <c r="G225" s="18">
        <f>14325.4+24.29+2887.54+4119.7+41.24+225.06</f>
        <v>21623.230000000003</v>
      </c>
      <c r="H225" s="18">
        <f>5043.68+1379.88+477.12+3376.16+434.31+2033.43+768.88+54.97+68.52+58.94+16.94+10.97</f>
        <v>13723.8</v>
      </c>
      <c r="I225" s="18">
        <f>6259.45+22888.12+16477.37+784.45+81.14+245.61</f>
        <v>46736.14</v>
      </c>
      <c r="J225" s="18">
        <f>610.34+819.04</f>
        <v>1429.38</v>
      </c>
      <c r="K225" s="18">
        <f>5034.4</f>
        <v>5034.3999999999996</v>
      </c>
      <c r="L225" s="19">
        <f t="shared" si="2"/>
        <v>128358.92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3331.59</f>
        <v>3331.59</v>
      </c>
      <c r="G226" s="18">
        <f>1051.06+22.65+241.23+142.06+9.77+3.45+18.83</f>
        <v>1489.05</v>
      </c>
      <c r="H226" s="18">
        <f>19297.5+9835+9082</f>
        <v>38214.5</v>
      </c>
      <c r="I226" s="18">
        <f>282.07</f>
        <v>282.07</v>
      </c>
      <c r="J226" s="18"/>
      <c r="K226" s="18"/>
      <c r="L226" s="19">
        <f t="shared" si="2"/>
        <v>43317.21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171.58</v>
      </c>
      <c r="I227" s="18"/>
      <c r="J227" s="18"/>
      <c r="K227" s="18"/>
      <c r="L227" s="19">
        <f>SUM(F227:K227)</f>
        <v>171.58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819566.78</v>
      </c>
      <c r="G229" s="41">
        <f>SUM(G215:G228)</f>
        <v>435895.53999999992</v>
      </c>
      <c r="H229" s="41">
        <f>SUM(H215:H228)</f>
        <v>120340.65000000001</v>
      </c>
      <c r="I229" s="41">
        <f>SUM(I215:I228)</f>
        <v>63199.25</v>
      </c>
      <c r="J229" s="41">
        <f>SUM(J215:J228)</f>
        <v>8889.380000000001</v>
      </c>
      <c r="K229" s="41">
        <f t="shared" si="3"/>
        <v>10649.85</v>
      </c>
      <c r="L229" s="41">
        <f t="shared" si="3"/>
        <v>1458541.45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718394.84+14820</f>
        <v>733214.84</v>
      </c>
      <c r="G233" s="18">
        <f>226017.78+4264.42+756.05+122.4+52045.53+121272.6+744.21+4061.21</f>
        <v>409284.20000000007</v>
      </c>
      <c r="H233" s="18">
        <f>11042.16+39610.69+4663.68+14700+17850.61+1098.2</f>
        <v>88965.34</v>
      </c>
      <c r="I233" s="18">
        <f>6985.18+6303.54+1585.51+6855.69+307.69+261.52+3606.08+2955.61</f>
        <v>28860.82</v>
      </c>
      <c r="J233" s="18">
        <f>4864.2+3368+2058+1025.38+5266.75+6385.25</f>
        <v>22967.58</v>
      </c>
      <c r="K233" s="18">
        <v>3390.52</v>
      </c>
      <c r="L233" s="19">
        <f>SUM(F233:K233)</f>
        <v>1286683.3000000003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77729.97+2837.5+2400</f>
        <v>82967.47</v>
      </c>
      <c r="G234" s="18">
        <f>15657.22+678.59+85.4+5840.07+2562.49+7044.41+80.52+439.42+183.62+136.56+2.49+13.57</f>
        <v>32724.359999999997</v>
      </c>
      <c r="H234" s="18">
        <f>177.68+25.9+58476.13+222.02+296-53631</f>
        <v>5566.7299999999959</v>
      </c>
      <c r="I234" s="18">
        <f>74.47+430.8+529.39+48+37.48</f>
        <v>1120.1399999999999</v>
      </c>
      <c r="J234" s="18"/>
      <c r="K234" s="18"/>
      <c r="L234" s="19">
        <f>SUM(F234:K234)</f>
        <v>122378.7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6712.06+11719.7</f>
        <v>18431.760000000002</v>
      </c>
      <c r="I235" s="18"/>
      <c r="J235" s="18"/>
      <c r="K235" s="18"/>
      <c r="L235" s="19">
        <f>SUM(F235:K235)</f>
        <v>18431.760000000002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43824+5699.99</f>
        <v>49523.99</v>
      </c>
      <c r="G236" s="18">
        <f>5.4+3278.26+628.75+3026.96+45.4+247.74+309.52+423.12+989.53</f>
        <v>8954.68</v>
      </c>
      <c r="H236" s="18">
        <f>12236</f>
        <v>12236</v>
      </c>
      <c r="I236" s="18">
        <f>15594.02+1062.31</f>
        <v>16656.330000000002</v>
      </c>
      <c r="J236" s="18"/>
      <c r="K236" s="18">
        <v>5241</v>
      </c>
      <c r="L236" s="19">
        <f>SUM(F236:K236)</f>
        <v>92612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50293.16+11536.15</f>
        <v>61829.310000000005</v>
      </c>
      <c r="G238" s="18">
        <f>24122.56+441.92+59.92+3404.29+2223.52+5338.85+52.1+284.32+7663.11+122.86+722.31+2002.75+11.95+65.22</f>
        <v>46515.679999999993</v>
      </c>
      <c r="H238" s="18">
        <f>31500+6433.5+430.95+88+234.8+61.57+483.11+1387.5+31378.16+4350+3749.21+270.38+42.57</f>
        <v>80409.750000000015</v>
      </c>
      <c r="I238" s="18">
        <f>385.07+695+182.92+96.72</f>
        <v>1359.71</v>
      </c>
      <c r="J238" s="18">
        <f>239.99+81.47</f>
        <v>321.46000000000004</v>
      </c>
      <c r="K238" s="18"/>
      <c r="L238" s="19">
        <f t="shared" ref="L238:L244" si="4">SUM(F238:K238)</f>
        <v>190435.90999999997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3000+37255.05</f>
        <v>40255.050000000003</v>
      </c>
      <c r="G239" s="18">
        <f>215.11+520.8+2711.76+8215+518+7981.15+172.82+27.39+2701.96+757.39+5312.05+38.59+210.61</f>
        <v>29382.629999999997</v>
      </c>
      <c r="H239" s="18">
        <f>1547.13+696.95+194.29</f>
        <v>2438.37</v>
      </c>
      <c r="I239" s="18">
        <f>516.58+96.96+2766.2+418.99+710.86+1112.91+223.68+103.11</f>
        <v>5949.2899999999991</v>
      </c>
      <c r="J239" s="18"/>
      <c r="K239" s="18">
        <f>160</f>
        <v>160</v>
      </c>
      <c r="L239" s="19">
        <f t="shared" si="4"/>
        <v>78185.339999999982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2480+288+1248+326.4+113796.61</f>
        <v>118139.01</v>
      </c>
      <c r="G240" s="18">
        <f>189.67-941.8+3.2+20.15+32.8+95.52+24.57+29603.39+610.98+248.62+8126.14+5759.5+3999.84+117.89+643.31+1030.08</f>
        <v>49563.86</v>
      </c>
      <c r="H240" s="18">
        <f>1072.52+376.64+3584+6396.31+5985.28+363.79+3648+613.35+244.46+7512.47+40.66+1963.6</f>
        <v>31801.079999999998</v>
      </c>
      <c r="I240" s="18">
        <f>9.6+27.76+204.86+1042.37+538.81+119.13+37.76+10.23+10.23</f>
        <v>2000.7499999999998</v>
      </c>
      <c r="J240" s="18"/>
      <c r="K240" s="18">
        <f>1058.72+48.3+822.85+263.35+93.22</f>
        <v>2286.4399999999996</v>
      </c>
      <c r="L240" s="19">
        <f t="shared" si="4"/>
        <v>203791.13999999998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83140.19</f>
        <v>83140.19</v>
      </c>
      <c r="G241" s="18">
        <f>21107.02+441.66+142.68+5692.8+1741.38+10040.59+86.13+470.01+628</f>
        <v>40350.270000000004</v>
      </c>
      <c r="H241" s="18">
        <f>144.96+2831.6+409.16+690.48+1138.43+368.75</f>
        <v>5583.38</v>
      </c>
      <c r="I241" s="18">
        <f>1402.34+27.39+1005.37+55+375</f>
        <v>2865.1</v>
      </c>
      <c r="J241" s="18"/>
      <c r="K241" s="18">
        <f>1541.5+160.28</f>
        <v>1701.78</v>
      </c>
      <c r="L241" s="19">
        <f t="shared" si="4"/>
        <v>133640.72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67877.08+1317.65</f>
        <v>69194.73</v>
      </c>
      <c r="G243" s="18">
        <f>15348.69+384.33+28.34+5111.91+6536.08+71.68+391.17</f>
        <v>27872.199999999997</v>
      </c>
      <c r="H243" s="18">
        <f>7665.46+5964.01+983.62+4585.61+2043.84+2829.12+1069.66+76.48+98.31+82+60.05+21.94</f>
        <v>25480.1</v>
      </c>
      <c r="I243" s="18">
        <f>8771.68+28900.44+29837.67+1043.24+112.89+341.76</f>
        <v>69007.679999999993</v>
      </c>
      <c r="J243" s="18">
        <f>767.75+1139.54</f>
        <v>1907.29</v>
      </c>
      <c r="K243" s="18">
        <f>6985.37+611.15</f>
        <v>7596.5199999999995</v>
      </c>
      <c r="L243" s="19">
        <f t="shared" si="4"/>
        <v>201058.52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4092.79+24824.34+714.41+593.19</f>
        <v>30224.73</v>
      </c>
      <c r="G244" s="18">
        <f>2984.16+64.69+274.57+324.41+4.24+23.14+16911.37+366.11+1709.88+2312.55+25.7+140.31+52.44+16.78+45.39</f>
        <v>25255.739999999998</v>
      </c>
      <c r="H244" s="18">
        <f>26848.6+1328+138+3605.62+18190.57+3530.25+582</f>
        <v>54223.039999999994</v>
      </c>
      <c r="I244" s="18">
        <f>729.42+440.51+6706.54</f>
        <v>7876.4699999999993</v>
      </c>
      <c r="J244" s="18"/>
      <c r="K244" s="18"/>
      <c r="L244" s="19">
        <f t="shared" si="4"/>
        <v>117579.98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f>238.72</f>
        <v>238.72</v>
      </c>
      <c r="I245" s="18"/>
      <c r="J245" s="18"/>
      <c r="K245" s="18"/>
      <c r="L245" s="19">
        <f>SUM(F245:K245)</f>
        <v>238.72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1268489.3199999998</v>
      </c>
      <c r="G247" s="41">
        <f t="shared" si="5"/>
        <v>669903.62</v>
      </c>
      <c r="H247" s="41">
        <f t="shared" si="5"/>
        <v>325374.26999999996</v>
      </c>
      <c r="I247" s="41">
        <f t="shared" si="5"/>
        <v>135696.28999999998</v>
      </c>
      <c r="J247" s="41">
        <f t="shared" si="5"/>
        <v>25196.33</v>
      </c>
      <c r="K247" s="41">
        <f t="shared" si="5"/>
        <v>20376.259999999998</v>
      </c>
      <c r="L247" s="41">
        <f t="shared" si="5"/>
        <v>2445036.0900000003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3722876.2600000002</v>
      </c>
      <c r="G257" s="41">
        <f t="shared" si="8"/>
        <v>2035054.2599999998</v>
      </c>
      <c r="H257" s="41">
        <f t="shared" si="8"/>
        <v>768034.71</v>
      </c>
      <c r="I257" s="41">
        <f t="shared" si="8"/>
        <v>310934.02999999997</v>
      </c>
      <c r="J257" s="41">
        <f t="shared" si="8"/>
        <v>56013.930000000008</v>
      </c>
      <c r="K257" s="41">
        <f t="shared" si="8"/>
        <v>47654.849999999991</v>
      </c>
      <c r="L257" s="41">
        <f t="shared" si="8"/>
        <v>6940568.040000001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37038.58</v>
      </c>
      <c r="L263" s="19">
        <f>SUM(F263:K263)</f>
        <v>37038.58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100000</v>
      </c>
      <c r="L266" s="19">
        <f t="shared" si="9"/>
        <v>100000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53631</v>
      </c>
      <c r="L268" s="19">
        <f t="shared" si="9"/>
        <v>53631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190669.58000000002</v>
      </c>
      <c r="L270" s="41">
        <f t="shared" si="9"/>
        <v>190669.58000000002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3722876.2600000002</v>
      </c>
      <c r="G271" s="42">
        <f t="shared" si="11"/>
        <v>2035054.2599999998</v>
      </c>
      <c r="H271" s="42">
        <f t="shared" si="11"/>
        <v>768034.71</v>
      </c>
      <c r="I271" s="42">
        <f t="shared" si="11"/>
        <v>310934.02999999997</v>
      </c>
      <c r="J271" s="42">
        <f t="shared" si="11"/>
        <v>56013.930000000008</v>
      </c>
      <c r="K271" s="42">
        <f t="shared" si="11"/>
        <v>238324.43</v>
      </c>
      <c r="L271" s="42">
        <f t="shared" si="11"/>
        <v>7131237.620000001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84368</f>
        <v>84368</v>
      </c>
      <c r="G276" s="18">
        <f>6190.87+8704.8</f>
        <v>14895.669999999998</v>
      </c>
      <c r="H276" s="18"/>
      <c r="I276" s="18">
        <f>7172.89</f>
        <v>7172.89</v>
      </c>
      <c r="J276" s="18"/>
      <c r="K276" s="18">
        <v>996.95</v>
      </c>
      <c r="L276" s="19">
        <f>SUM(F276:K276)</f>
        <v>107433.51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>
        <f>41180+17056</f>
        <v>58236</v>
      </c>
      <c r="I277" s="18"/>
      <c r="J277" s="18"/>
      <c r="K277" s="18"/>
      <c r="L277" s="19">
        <f>SUM(F277:K277)</f>
        <v>58236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f>3340.42</f>
        <v>3340.42</v>
      </c>
      <c r="I281" s="18"/>
      <c r="J281" s="18"/>
      <c r="K281" s="18"/>
      <c r="L281" s="19">
        <f t="shared" ref="L281:L287" si="12">SUM(F281:K281)</f>
        <v>3340.42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6875+4000</f>
        <v>10875</v>
      </c>
      <c r="G282" s="18">
        <f>68.68+113.8</f>
        <v>182.48000000000002</v>
      </c>
      <c r="H282" s="18">
        <f>1875+4437+1454.95+144.45+13140+5832+4374+1278.8</f>
        <v>32536.2</v>
      </c>
      <c r="I282" s="18"/>
      <c r="J282" s="18"/>
      <c r="K282" s="18"/>
      <c r="L282" s="19">
        <f t="shared" si="12"/>
        <v>43593.68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>
        <f>10423.47</f>
        <v>10423.469999999999</v>
      </c>
      <c r="K286" s="18"/>
      <c r="L286" s="19">
        <f t="shared" si="12"/>
        <v>10423.469999999999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95243</v>
      </c>
      <c r="G290" s="42">
        <f t="shared" si="13"/>
        <v>15078.149999999998</v>
      </c>
      <c r="H290" s="42">
        <f t="shared" si="13"/>
        <v>94112.62</v>
      </c>
      <c r="I290" s="42">
        <f t="shared" si="13"/>
        <v>7172.89</v>
      </c>
      <c r="J290" s="42">
        <f t="shared" si="13"/>
        <v>10423.469999999999</v>
      </c>
      <c r="K290" s="42">
        <f t="shared" si="13"/>
        <v>996.95</v>
      </c>
      <c r="L290" s="41">
        <f t="shared" si="13"/>
        <v>223027.08000000002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>
        <f>1000</f>
        <v>1000</v>
      </c>
      <c r="L295" s="19">
        <f>SUM(F295:K295)</f>
        <v>1000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>
        <f>7140</f>
        <v>7140</v>
      </c>
      <c r="I296" s="18"/>
      <c r="J296" s="18"/>
      <c r="K296" s="18"/>
      <c r="L296" s="19">
        <f>SUM(F296:K296)</f>
        <v>7140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f>1707.32</f>
        <v>1707.32</v>
      </c>
      <c r="I300" s="18"/>
      <c r="J300" s="18"/>
      <c r="K300" s="18"/>
      <c r="L300" s="19">
        <f t="shared" ref="L300:L306" si="14">SUM(F300:K300)</f>
        <v>1707.32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>
        <f>2267.8+1273.39</f>
        <v>3541.1900000000005</v>
      </c>
      <c r="I301" s="18"/>
      <c r="J301" s="18"/>
      <c r="K301" s="18"/>
      <c r="L301" s="19">
        <f t="shared" si="14"/>
        <v>3541.1900000000005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>
        <f>3869.29</f>
        <v>3869.29</v>
      </c>
      <c r="K305" s="18"/>
      <c r="L305" s="19">
        <f t="shared" si="14"/>
        <v>3869.29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12388.51</v>
      </c>
      <c r="I309" s="42">
        <f t="shared" si="15"/>
        <v>0</v>
      </c>
      <c r="J309" s="42">
        <f t="shared" si="15"/>
        <v>3869.29</v>
      </c>
      <c r="K309" s="42">
        <f t="shared" si="15"/>
        <v>1000</v>
      </c>
      <c r="L309" s="41">
        <f t="shared" si="15"/>
        <v>17257.8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1500</v>
      </c>
      <c r="G314" s="18"/>
      <c r="H314" s="18"/>
      <c r="I314" s="18"/>
      <c r="J314" s="18">
        <f>5000+5906.48</f>
        <v>10906.48</v>
      </c>
      <c r="K314" s="18">
        <v>2800</v>
      </c>
      <c r="L314" s="19">
        <f>SUM(F314:K314)</f>
        <v>15206.48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f>2375.41</f>
        <v>2375.41</v>
      </c>
      <c r="I319" s="18"/>
      <c r="J319" s="18"/>
      <c r="K319" s="18"/>
      <c r="L319" s="19">
        <f t="shared" ref="L319:L325" si="16">SUM(F319:K319)</f>
        <v>2375.41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1375</f>
        <v>1375</v>
      </c>
      <c r="G320" s="18"/>
      <c r="H320" s="18">
        <f>3155.2+1771.66</f>
        <v>4926.8599999999997</v>
      </c>
      <c r="I320" s="18"/>
      <c r="J320" s="18"/>
      <c r="K320" s="18"/>
      <c r="L320" s="19">
        <f t="shared" si="16"/>
        <v>6301.86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>
        <f>4729.13</f>
        <v>4729.13</v>
      </c>
      <c r="K324" s="18"/>
      <c r="L324" s="19">
        <f t="shared" si="16"/>
        <v>4729.13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2875</v>
      </c>
      <c r="G328" s="42">
        <f t="shared" si="17"/>
        <v>0</v>
      </c>
      <c r="H328" s="42">
        <f t="shared" si="17"/>
        <v>7302.2699999999995</v>
      </c>
      <c r="I328" s="42">
        <f t="shared" si="17"/>
        <v>0</v>
      </c>
      <c r="J328" s="42">
        <f t="shared" si="17"/>
        <v>15635.61</v>
      </c>
      <c r="K328" s="42">
        <f t="shared" si="17"/>
        <v>2800</v>
      </c>
      <c r="L328" s="41">
        <f t="shared" si="17"/>
        <v>28612.880000000001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98118</v>
      </c>
      <c r="G338" s="41">
        <f t="shared" si="20"/>
        <v>15078.149999999998</v>
      </c>
      <c r="H338" s="41">
        <f t="shared" si="20"/>
        <v>113803.4</v>
      </c>
      <c r="I338" s="41">
        <f t="shared" si="20"/>
        <v>7172.89</v>
      </c>
      <c r="J338" s="41">
        <f t="shared" si="20"/>
        <v>29928.37</v>
      </c>
      <c r="K338" s="41">
        <f t="shared" si="20"/>
        <v>4796.95</v>
      </c>
      <c r="L338" s="41">
        <f t="shared" si="20"/>
        <v>268897.76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98118</v>
      </c>
      <c r="G352" s="41">
        <f>G338</f>
        <v>15078.149999999998</v>
      </c>
      <c r="H352" s="41">
        <f>H338</f>
        <v>113803.4</v>
      </c>
      <c r="I352" s="41">
        <f>I338</f>
        <v>7172.89</v>
      </c>
      <c r="J352" s="41">
        <f>J338</f>
        <v>29928.37</v>
      </c>
      <c r="K352" s="47">
        <f>K338+K351</f>
        <v>4796.95</v>
      </c>
      <c r="L352" s="41">
        <f>L338+L351</f>
        <v>268897.76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3909.09+76632.3</f>
        <v>80541.39</v>
      </c>
      <c r="I358" s="18">
        <v>576.69000000000005</v>
      </c>
      <c r="J358" s="18">
        <v>0</v>
      </c>
      <c r="K358" s="18">
        <v>-7172.89</v>
      </c>
      <c r="L358" s="13">
        <f>SUM(F358:K358)</f>
        <v>73945.19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f>2076.8+39167.63</f>
        <v>41244.43</v>
      </c>
      <c r="I359" s="18">
        <f>294.75</f>
        <v>294.75</v>
      </c>
      <c r="J359" s="18"/>
      <c r="K359" s="18"/>
      <c r="L359" s="19">
        <f>SUM(F359:K359)</f>
        <v>41539.18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2815.1+54494.07</f>
        <v>57309.17</v>
      </c>
      <c r="I360" s="18">
        <f>410.11</f>
        <v>410.11</v>
      </c>
      <c r="J360" s="18"/>
      <c r="K360" s="18"/>
      <c r="L360" s="19">
        <f>SUM(F360:K360)</f>
        <v>57719.28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179094.99</v>
      </c>
      <c r="I362" s="47">
        <f t="shared" si="22"/>
        <v>1281.5500000000002</v>
      </c>
      <c r="J362" s="47">
        <f t="shared" si="22"/>
        <v>0</v>
      </c>
      <c r="K362" s="47">
        <f t="shared" si="22"/>
        <v>-7172.89</v>
      </c>
      <c r="L362" s="47">
        <f t="shared" si="22"/>
        <v>173203.65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576.69000000000005</v>
      </c>
      <c r="G368" s="63">
        <v>294.75</v>
      </c>
      <c r="H368" s="63">
        <v>410.11</v>
      </c>
      <c r="I368" s="56">
        <f>SUM(F368:H368)</f>
        <v>1281.5500000000002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576.69000000000005</v>
      </c>
      <c r="G369" s="47">
        <f>SUM(G367:G368)</f>
        <v>294.75</v>
      </c>
      <c r="H369" s="47">
        <f>SUM(H367:H368)</f>
        <v>410.11</v>
      </c>
      <c r="I369" s="47">
        <f>SUM(I367:I368)</f>
        <v>1281.5500000000002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v>42321.64</v>
      </c>
      <c r="I379" s="18"/>
      <c r="J379" s="18"/>
      <c r="K379" s="18"/>
      <c r="L379" s="13">
        <f t="shared" si="23"/>
        <v>42321.64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42321.64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42321.64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60000</v>
      </c>
      <c r="H396" s="18">
        <f>511.45</f>
        <v>511.45</v>
      </c>
      <c r="I396" s="18"/>
      <c r="J396" s="24" t="s">
        <v>286</v>
      </c>
      <c r="K396" s="24" t="s">
        <v>286</v>
      </c>
      <c r="L396" s="56">
        <f t="shared" si="26"/>
        <v>60511.45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10000</v>
      </c>
      <c r="H397" s="18">
        <f>444.67</f>
        <v>444.67</v>
      </c>
      <c r="I397" s="18"/>
      <c r="J397" s="24" t="s">
        <v>286</v>
      </c>
      <c r="K397" s="24" t="s">
        <v>286</v>
      </c>
      <c r="L397" s="56">
        <f t="shared" si="26"/>
        <v>10444.67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10000</v>
      </c>
      <c r="H399" s="18">
        <f>95.63</f>
        <v>95.63</v>
      </c>
      <c r="I399" s="18"/>
      <c r="J399" s="24" t="s">
        <v>286</v>
      </c>
      <c r="K399" s="24" t="s">
        <v>286</v>
      </c>
      <c r="L399" s="56">
        <f t="shared" si="26"/>
        <v>10095.629999999999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20000</v>
      </c>
      <c r="H400" s="18">
        <f>35.3+159.92+76.16+20.81</f>
        <v>292.19</v>
      </c>
      <c r="I400" s="18"/>
      <c r="J400" s="24" t="s">
        <v>286</v>
      </c>
      <c r="K400" s="24" t="s">
        <v>286</v>
      </c>
      <c r="L400" s="56">
        <f t="shared" si="26"/>
        <v>20292.189999999999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1343.94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101343.94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1343.94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101343.94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28396.2</v>
      </c>
      <c r="I422" s="18"/>
      <c r="J422" s="18"/>
      <c r="K422" s="18"/>
      <c r="L422" s="56">
        <f t="shared" si="29"/>
        <v>28396.2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>
        <v>4996</v>
      </c>
      <c r="K425" s="18"/>
      <c r="L425" s="56">
        <f t="shared" si="29"/>
        <v>4996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28396.2</v>
      </c>
      <c r="I427" s="47">
        <f t="shared" si="30"/>
        <v>0</v>
      </c>
      <c r="J427" s="47">
        <f t="shared" si="30"/>
        <v>4996</v>
      </c>
      <c r="K427" s="47">
        <f t="shared" si="30"/>
        <v>0</v>
      </c>
      <c r="L427" s="47">
        <f t="shared" si="30"/>
        <v>33392.199999999997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28396.2</v>
      </c>
      <c r="I434" s="47">
        <f t="shared" si="32"/>
        <v>0</v>
      </c>
      <c r="J434" s="47">
        <f t="shared" si="32"/>
        <v>4996</v>
      </c>
      <c r="K434" s="47">
        <f t="shared" si="32"/>
        <v>0</v>
      </c>
      <c r="L434" s="47">
        <f t="shared" si="32"/>
        <v>33392.199999999997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450319.59</v>
      </c>
      <c r="H439" s="18"/>
      <c r="I439" s="56">
        <f t="shared" ref="I439:I445" si="33">SUM(F439:H439)</f>
        <v>450319.59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450319.59</v>
      </c>
      <c r="H446" s="13">
        <f>SUM(H439:H445)</f>
        <v>0</v>
      </c>
      <c r="I446" s="13">
        <f>SUM(I439:I445)</f>
        <v>450319.59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450319.59</v>
      </c>
      <c r="H459" s="18"/>
      <c r="I459" s="56">
        <f t="shared" si="34"/>
        <v>450319.59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450319.59</v>
      </c>
      <c r="H460" s="83">
        <f>SUM(H454:H459)</f>
        <v>0</v>
      </c>
      <c r="I460" s="83">
        <f>SUM(I454:I459)</f>
        <v>450319.59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450319.59</v>
      </c>
      <c r="H461" s="42">
        <f>H452+H460</f>
        <v>0</v>
      </c>
      <c r="I461" s="42">
        <f>I452+I460</f>
        <v>450319.59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331001.87</v>
      </c>
      <c r="G465" s="18">
        <v>9043.67</v>
      </c>
      <c r="H465" s="18">
        <v>5080.93</v>
      </c>
      <c r="I465" s="18">
        <v>26302.62</v>
      </c>
      <c r="J465" s="18">
        <v>382367.85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7322211.42-140000</f>
        <v>7182211.4199999999</v>
      </c>
      <c r="G468" s="18">
        <v>173203.65</v>
      </c>
      <c r="H468" s="18">
        <v>268897.76</v>
      </c>
      <c r="I468" s="18">
        <v>140000</v>
      </c>
      <c r="J468" s="18">
        <v>101343.94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7182211.4199999999</v>
      </c>
      <c r="G470" s="53">
        <f>SUM(G468:G469)</f>
        <v>173203.65</v>
      </c>
      <c r="H470" s="53">
        <f>SUM(H468:H469)</f>
        <v>268897.76</v>
      </c>
      <c r="I470" s="53">
        <f>SUM(I468:I469)</f>
        <v>140000</v>
      </c>
      <c r="J470" s="53">
        <f>SUM(J468:J469)</f>
        <v>101343.94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7131237.6200000001</v>
      </c>
      <c r="G472" s="18">
        <v>173203.65</v>
      </c>
      <c r="H472" s="18">
        <v>268897.76</v>
      </c>
      <c r="I472" s="18">
        <v>42321.64</v>
      </c>
      <c r="J472" s="18">
        <v>33392.199999999997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7131237.6200000001</v>
      </c>
      <c r="G474" s="53">
        <f>SUM(G472:G473)</f>
        <v>173203.65</v>
      </c>
      <c r="H474" s="53">
        <f>SUM(H472:H473)</f>
        <v>268897.76</v>
      </c>
      <c r="I474" s="53">
        <f>SUM(I472:I473)</f>
        <v>42321.64</v>
      </c>
      <c r="J474" s="53">
        <f>SUM(J472:J473)</f>
        <v>33392.199999999997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381975.66999999993</v>
      </c>
      <c r="G476" s="53">
        <f>(G465+G470)- G474</f>
        <v>9043.6700000000128</v>
      </c>
      <c r="H476" s="53">
        <f>(H465+H470)- H474</f>
        <v>5080.929999999993</v>
      </c>
      <c r="I476" s="53">
        <f>(I465+I470)- I474</f>
        <v>123980.98</v>
      </c>
      <c r="J476" s="53">
        <f>(J465+J470)- J474</f>
        <v>450319.58999999997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291202.33</v>
      </c>
      <c r="G521" s="18">
        <v>136583.67999999999</v>
      </c>
      <c r="H521" s="18">
        <v>59473.38</v>
      </c>
      <c r="I521" s="18">
        <v>498.54</v>
      </c>
      <c r="J521" s="18"/>
      <c r="K521" s="18">
        <v>165</v>
      </c>
      <c r="L521" s="88">
        <f>SUM(F521:K521)</f>
        <v>487922.93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85929.35</v>
      </c>
      <c r="G522" s="18">
        <v>44651.81</v>
      </c>
      <c r="H522" s="18">
        <v>144.5</v>
      </c>
      <c r="I522" s="18">
        <v>415.62</v>
      </c>
      <c r="J522" s="18">
        <v>393.26</v>
      </c>
      <c r="K522" s="18"/>
      <c r="L522" s="88">
        <f>SUM(F522:K522)</f>
        <v>131534.54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82967.47</v>
      </c>
      <c r="G523" s="18">
        <v>32724.36</v>
      </c>
      <c r="H523" s="18">
        <v>12706.73</v>
      </c>
      <c r="I523" s="18">
        <v>1034.6600000000001</v>
      </c>
      <c r="J523" s="18"/>
      <c r="K523" s="18"/>
      <c r="L523" s="88">
        <f>SUM(F523:K523)</f>
        <v>129433.22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460099.15</v>
      </c>
      <c r="G524" s="108">
        <f t="shared" ref="G524:L524" si="36">SUM(G521:G523)</f>
        <v>213959.84999999998</v>
      </c>
      <c r="H524" s="108">
        <f t="shared" si="36"/>
        <v>72324.61</v>
      </c>
      <c r="I524" s="108">
        <f t="shared" si="36"/>
        <v>1948.8200000000002</v>
      </c>
      <c r="J524" s="108">
        <f t="shared" si="36"/>
        <v>393.26</v>
      </c>
      <c r="K524" s="108">
        <f t="shared" si="36"/>
        <v>165</v>
      </c>
      <c r="L524" s="89">
        <f t="shared" si="36"/>
        <v>748890.69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22113.25</v>
      </c>
      <c r="G526" s="18">
        <v>22160.799999999999</v>
      </c>
      <c r="H526" s="18">
        <v>165176.09</v>
      </c>
      <c r="I526" s="18"/>
      <c r="J526" s="18"/>
      <c r="K526" s="18"/>
      <c r="L526" s="88">
        <f>SUM(F526:K526)</f>
        <v>209450.14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25052.62</v>
      </c>
      <c r="I527" s="18"/>
      <c r="J527" s="18"/>
      <c r="K527" s="18"/>
      <c r="L527" s="88">
        <f>SUM(F527:K527)</f>
        <v>25052.62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42123.16</v>
      </c>
      <c r="I528" s="18"/>
      <c r="J528" s="18"/>
      <c r="K528" s="18"/>
      <c r="L528" s="88">
        <f>SUM(F528:K528)</f>
        <v>42123.16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22113.25</v>
      </c>
      <c r="G529" s="89">
        <f t="shared" ref="G529:L529" si="37">SUM(G526:G528)</f>
        <v>22160.799999999999</v>
      </c>
      <c r="H529" s="89">
        <f t="shared" si="37"/>
        <v>232351.87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276625.92000000004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46956.52</v>
      </c>
      <c r="G531" s="18">
        <v>21130.43</v>
      </c>
      <c r="H531" s="18"/>
      <c r="I531" s="18"/>
      <c r="J531" s="18"/>
      <c r="K531" s="18"/>
      <c r="L531" s="88">
        <f>SUM(F531:K531)</f>
        <v>68086.95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7826.09</v>
      </c>
      <c r="G532" s="18">
        <v>3521.74</v>
      </c>
      <c r="H532" s="18"/>
      <c r="I532" s="18"/>
      <c r="J532" s="18"/>
      <c r="K532" s="18"/>
      <c r="L532" s="88">
        <f>SUM(F532:K532)</f>
        <v>11347.83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17217.39</v>
      </c>
      <c r="G533" s="18">
        <v>7747.83</v>
      </c>
      <c r="H533" s="18"/>
      <c r="I533" s="18"/>
      <c r="J533" s="18"/>
      <c r="K533" s="18"/>
      <c r="L533" s="88">
        <f>SUM(F533:K533)</f>
        <v>24965.22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72000</v>
      </c>
      <c r="G534" s="89">
        <f t="shared" ref="G534:L534" si="38">SUM(G531:G533)</f>
        <v>32400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104400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582</v>
      </c>
      <c r="I541" s="18"/>
      <c r="J541" s="18"/>
      <c r="K541" s="18"/>
      <c r="L541" s="88">
        <f>SUM(F541:K541)</f>
        <v>582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4092.79</v>
      </c>
      <c r="G543" s="18">
        <v>3675.21</v>
      </c>
      <c r="H543" s="18">
        <v>1466</v>
      </c>
      <c r="I543" s="18">
        <v>729.42</v>
      </c>
      <c r="J543" s="18"/>
      <c r="K543" s="18"/>
      <c r="L543" s="88">
        <f>SUM(F543:K543)</f>
        <v>9963.42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4092.79</v>
      </c>
      <c r="G544" s="193">
        <f t="shared" ref="G544:L544" si="40">SUM(G541:G543)</f>
        <v>3675.21</v>
      </c>
      <c r="H544" s="193">
        <f t="shared" si="40"/>
        <v>2048</v>
      </c>
      <c r="I544" s="193">
        <f t="shared" si="40"/>
        <v>729.42</v>
      </c>
      <c r="J544" s="193">
        <f t="shared" si="40"/>
        <v>0</v>
      </c>
      <c r="K544" s="193">
        <f t="shared" si="40"/>
        <v>0</v>
      </c>
      <c r="L544" s="193">
        <f t="shared" si="40"/>
        <v>10545.42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558305.19000000006</v>
      </c>
      <c r="G545" s="89">
        <f t="shared" ref="G545:L545" si="41">G524+G529+G534+G539+G544</f>
        <v>272195.86</v>
      </c>
      <c r="H545" s="89">
        <f t="shared" si="41"/>
        <v>306724.47999999998</v>
      </c>
      <c r="I545" s="89">
        <f t="shared" si="41"/>
        <v>2678.2400000000002</v>
      </c>
      <c r="J545" s="89">
        <f t="shared" si="41"/>
        <v>393.26</v>
      </c>
      <c r="K545" s="89">
        <f t="shared" si="41"/>
        <v>165</v>
      </c>
      <c r="L545" s="89">
        <f t="shared" si="41"/>
        <v>1140462.0299999998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487922.93</v>
      </c>
      <c r="G549" s="87">
        <f>L526</f>
        <v>209450.14</v>
      </c>
      <c r="H549" s="87">
        <f>L531</f>
        <v>68086.95</v>
      </c>
      <c r="I549" s="87">
        <f>L536</f>
        <v>0</v>
      </c>
      <c r="J549" s="87">
        <f>L541</f>
        <v>582</v>
      </c>
      <c r="K549" s="87">
        <f>SUM(F549:J549)</f>
        <v>766042.02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131534.54</v>
      </c>
      <c r="G550" s="87">
        <f>L527</f>
        <v>25052.62</v>
      </c>
      <c r="H550" s="87">
        <f>L532</f>
        <v>11347.83</v>
      </c>
      <c r="I550" s="87">
        <f>L537</f>
        <v>0</v>
      </c>
      <c r="J550" s="87">
        <f>L542</f>
        <v>0</v>
      </c>
      <c r="K550" s="87">
        <f>SUM(F550:J550)</f>
        <v>167934.99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129433.22</v>
      </c>
      <c r="G551" s="87">
        <f>L528</f>
        <v>42123.16</v>
      </c>
      <c r="H551" s="87">
        <f>L533</f>
        <v>24965.22</v>
      </c>
      <c r="I551" s="87">
        <f>L538</f>
        <v>0</v>
      </c>
      <c r="J551" s="87">
        <f>L543</f>
        <v>9963.42</v>
      </c>
      <c r="K551" s="87">
        <f>SUM(F551:J551)</f>
        <v>206485.02000000002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748890.69</v>
      </c>
      <c r="G552" s="89">
        <f t="shared" si="42"/>
        <v>276625.92000000004</v>
      </c>
      <c r="H552" s="89">
        <f t="shared" si="42"/>
        <v>104400</v>
      </c>
      <c r="I552" s="89">
        <f t="shared" si="42"/>
        <v>0</v>
      </c>
      <c r="J552" s="89">
        <f t="shared" si="42"/>
        <v>10545.42</v>
      </c>
      <c r="K552" s="89">
        <f t="shared" si="42"/>
        <v>1140462.03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17850.61</v>
      </c>
      <c r="I575" s="87">
        <f>SUM(F575:H575)</f>
        <v>17850.61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v>4845.13</v>
      </c>
      <c r="I579" s="87">
        <f t="shared" si="47"/>
        <v>4845.13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f>6712.06+11719.7</f>
        <v>18431.760000000002</v>
      </c>
      <c r="I584" s="87">
        <f t="shared" si="47"/>
        <v>18431.760000000002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3436.71+1051.04+22.66+19.96+249.38+142.07+9.76+3.56+19.43+1112.7+37755.9+2978.96+6.72+1901.72+582</f>
        <v>49292.57</v>
      </c>
      <c r="I591" s="18">
        <f>3331.59+1051.06+22.65+241.23+142.06+9.77+3.45+18.83+19297.5+282.07</f>
        <v>24400.21</v>
      </c>
      <c r="J591" s="18">
        <f>26848.6</f>
        <v>26848.6</v>
      </c>
      <c r="K591" s="104">
        <f t="shared" ref="K591:K597" si="48">SUM(H591:J591)</f>
        <v>100541.38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582</f>
        <v>582</v>
      </c>
      <c r="I592" s="18"/>
      <c r="J592" s="18">
        <v>9963.42</v>
      </c>
      <c r="K592" s="104">
        <f t="shared" si="48"/>
        <v>10545.42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57042.93+582</f>
        <v>57624.93</v>
      </c>
      <c r="K593" s="104">
        <f t="shared" si="48"/>
        <v>57624.93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f>9835</f>
        <v>9835</v>
      </c>
      <c r="J594" s="18">
        <f>714.41+52.44+16.78+18190.57</f>
        <v>18974.2</v>
      </c>
      <c r="K594" s="104">
        <f t="shared" si="48"/>
        <v>28809.200000000001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1270.5+308+308+297+308+308</f>
        <v>2799.5</v>
      </c>
      <c r="I595" s="18">
        <v>9082</v>
      </c>
      <c r="J595" s="18">
        <f>593.19+45.39+3530.25</f>
        <v>4168.83</v>
      </c>
      <c r="K595" s="104">
        <f t="shared" si="48"/>
        <v>16050.33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52674.07</v>
      </c>
      <c r="I598" s="108">
        <f>SUM(I591:I597)</f>
        <v>43317.21</v>
      </c>
      <c r="J598" s="108">
        <f>SUM(J591:J597)</f>
        <v>117579.98</v>
      </c>
      <c r="K598" s="108">
        <f>SUM(K591:K597)</f>
        <v>213571.26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16286.94+114.57+3924.23+1602.48+10423.47</f>
        <v>32351.690000000002</v>
      </c>
      <c r="I604" s="18">
        <f>7008.18+393.26+58.56+610.34+819.04+3869.29</f>
        <v>12758.670000000002</v>
      </c>
      <c r="J604" s="18">
        <f>22967.58+239.99+81.47+767.75+12046.02+4729.13</f>
        <v>40831.94</v>
      </c>
      <c r="K604" s="104">
        <f>SUM(H604:J604)</f>
        <v>85942.3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32351.690000000002</v>
      </c>
      <c r="I605" s="108">
        <f>SUM(I602:I604)</f>
        <v>12758.670000000002</v>
      </c>
      <c r="J605" s="108">
        <f>SUM(J602:J604)</f>
        <v>40831.94</v>
      </c>
      <c r="K605" s="108">
        <f>SUM(K602:K604)</f>
        <v>85942.3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11525</f>
        <v>11525</v>
      </c>
      <c r="G611" s="18">
        <f>867.6+400.01+620.62</f>
        <v>1888.23</v>
      </c>
      <c r="H611" s="18"/>
      <c r="I611" s="18">
        <v>170.53</v>
      </c>
      <c r="J611" s="18"/>
      <c r="K611" s="18"/>
      <c r="L611" s="88">
        <f>SUM(F611:K611)</f>
        <v>13583.76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700</f>
        <v>700</v>
      </c>
      <c r="G612" s="18">
        <f>53.55+121.52</f>
        <v>175.07</v>
      </c>
      <c r="H612" s="18"/>
      <c r="I612" s="18"/>
      <c r="J612" s="18"/>
      <c r="K612" s="18"/>
      <c r="L612" s="88">
        <f>SUM(F612:K612)</f>
        <v>875.06999999999994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5699.99</f>
        <v>5699.99</v>
      </c>
      <c r="G613" s="18">
        <f>423.12+989.53</f>
        <v>1412.65</v>
      </c>
      <c r="H613" s="18"/>
      <c r="I613" s="18">
        <f>1062.31</f>
        <v>1062.31</v>
      </c>
      <c r="J613" s="18"/>
      <c r="K613" s="18"/>
      <c r="L613" s="88">
        <f>SUM(F613:K613)</f>
        <v>8174.9499999999989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17924.989999999998</v>
      </c>
      <c r="G614" s="108">
        <f t="shared" si="49"/>
        <v>3475.9500000000003</v>
      </c>
      <c r="H614" s="108">
        <f t="shared" si="49"/>
        <v>0</v>
      </c>
      <c r="I614" s="108">
        <f t="shared" si="49"/>
        <v>1232.8399999999999</v>
      </c>
      <c r="J614" s="108">
        <f t="shared" si="49"/>
        <v>0</v>
      </c>
      <c r="K614" s="108">
        <f t="shared" si="49"/>
        <v>0</v>
      </c>
      <c r="L614" s="89">
        <f t="shared" si="49"/>
        <v>22633.78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1210699.5900000001</v>
      </c>
      <c r="H617" s="109">
        <f>SUM(F52)</f>
        <v>1210699.5900000001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9213.67</v>
      </c>
      <c r="H618" s="109">
        <f>SUM(G52)</f>
        <v>9213.67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123633.25</v>
      </c>
      <c r="H619" s="109">
        <f>SUM(H52)</f>
        <v>123633.25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123980.98</v>
      </c>
      <c r="H620" s="109">
        <f>SUM(I52)</f>
        <v>123980.98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450319.59</v>
      </c>
      <c r="H621" s="109">
        <f>SUM(J52)</f>
        <v>450319.59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381975.6700000001</v>
      </c>
      <c r="H622" s="109">
        <f>F476</f>
        <v>381975.66999999993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9043.67</v>
      </c>
      <c r="H623" s="109">
        <f>G476</f>
        <v>9043.6700000000128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5080.93</v>
      </c>
      <c r="H624" s="109">
        <f>H476</f>
        <v>5080.929999999993</v>
      </c>
      <c r="I624" s="121" t="s">
        <v>103</v>
      </c>
      <c r="J624" s="109">
        <f t="shared" si="50"/>
        <v>7.2759576141834259E-12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123980.98</v>
      </c>
      <c r="H625" s="109">
        <f>I476</f>
        <v>123980.98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450319.59</v>
      </c>
      <c r="H626" s="109">
        <f>J476</f>
        <v>450319.58999999997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7182211.419999999</v>
      </c>
      <c r="H627" s="104">
        <f>SUM(F468)</f>
        <v>7182211.4199999999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173203.65000000002</v>
      </c>
      <c r="H628" s="104">
        <f>SUM(G468)</f>
        <v>173203.65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268897.76</v>
      </c>
      <c r="H629" s="104">
        <f>SUM(H468)</f>
        <v>268897.76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140000</v>
      </c>
      <c r="H630" s="104">
        <f>SUM(I468)</f>
        <v>140000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101343.94</v>
      </c>
      <c r="H631" s="104">
        <f>SUM(J468)</f>
        <v>101343.94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7131237.620000001</v>
      </c>
      <c r="H632" s="104">
        <f>SUM(F472)</f>
        <v>7131237.6200000001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268897.76</v>
      </c>
      <c r="H633" s="104">
        <f>SUM(H472)</f>
        <v>268897.76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1281.5500000000002</v>
      </c>
      <c r="H634" s="104">
        <f>I369</f>
        <v>1281.5500000000002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173203.65</v>
      </c>
      <c r="H635" s="104">
        <f>SUM(G472)</f>
        <v>173203.65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42321.64</v>
      </c>
      <c r="H636" s="104">
        <f>SUM(I472)</f>
        <v>42321.64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101343.94</v>
      </c>
      <c r="H637" s="164">
        <f>SUM(J468)</f>
        <v>101343.94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33392.199999999997</v>
      </c>
      <c r="H638" s="164">
        <f>SUM(J472)</f>
        <v>33392.199999999997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450319.59</v>
      </c>
      <c r="H640" s="104">
        <f>SUM(G461)</f>
        <v>450319.59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450319.59</v>
      </c>
      <c r="H642" s="104">
        <f>SUM(I461)</f>
        <v>450319.59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1343.94</v>
      </c>
      <c r="H644" s="104">
        <f>H408</f>
        <v>1343.94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100000</v>
      </c>
      <c r="H645" s="104">
        <f>G408</f>
        <v>100000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101343.94</v>
      </c>
      <c r="H646" s="104">
        <f>L408</f>
        <v>101343.94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213571.26</v>
      </c>
      <c r="H647" s="104">
        <f>L208+L226+L244</f>
        <v>213571.26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85942.3</v>
      </c>
      <c r="H648" s="104">
        <f>(J257+J338)-(J255+J336)</f>
        <v>85942.3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52674.07</v>
      </c>
      <c r="H649" s="104">
        <f>H598</f>
        <v>52674.07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43317.21</v>
      </c>
      <c r="H650" s="104">
        <f>I598</f>
        <v>43317.21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117579.98</v>
      </c>
      <c r="H651" s="104">
        <f>J598</f>
        <v>117579.98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37038.58</v>
      </c>
      <c r="H652" s="104">
        <f>K263+K345</f>
        <v>37038.58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100000</v>
      </c>
      <c r="H655" s="104">
        <f>K266+K347</f>
        <v>100000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3333962.77</v>
      </c>
      <c r="G660" s="19">
        <f>(L229+L309+L359)</f>
        <v>1517338.43</v>
      </c>
      <c r="H660" s="19">
        <f>(L247+L328+L360)</f>
        <v>2531368.25</v>
      </c>
      <c r="I660" s="19">
        <f>SUM(F660:H660)</f>
        <v>7382669.4500000002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26074.116979171631</v>
      </c>
      <c r="G661" s="19">
        <f>(L359/IF(SUM(L358:L360)=0,1,SUM(L358:L360))*(SUM(G97:G110)))</f>
        <v>14647.300771542634</v>
      </c>
      <c r="H661" s="19">
        <f>(L360/IF(SUM(L358:L360)=0,1,SUM(L358:L360))*(SUM(G97:G110)))</f>
        <v>20352.63224928574</v>
      </c>
      <c r="I661" s="19">
        <f>SUM(F661:H661)</f>
        <v>61074.05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52674.07</v>
      </c>
      <c r="G662" s="19">
        <f>(L226+L306)-(J226+J306)</f>
        <v>43317.21</v>
      </c>
      <c r="H662" s="19">
        <f>(L244+L325)-(J244+J325)</f>
        <v>117579.98</v>
      </c>
      <c r="I662" s="19">
        <f>SUM(F662:H662)</f>
        <v>213571.26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45935.450000000004</v>
      </c>
      <c r="G663" s="199">
        <f>SUM(G575:G587)+SUM(I602:I604)+L612</f>
        <v>13633.740000000002</v>
      </c>
      <c r="H663" s="199">
        <f>SUM(H575:H587)+SUM(J602:J604)+L613</f>
        <v>90134.39</v>
      </c>
      <c r="I663" s="19">
        <f>SUM(F663:H663)</f>
        <v>149703.58000000002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3209279.1330208285</v>
      </c>
      <c r="G664" s="19">
        <f>G660-SUM(G661:G663)</f>
        <v>1445740.1792284574</v>
      </c>
      <c r="H664" s="19">
        <f>H660-SUM(H661:H663)</f>
        <v>2303301.2477507144</v>
      </c>
      <c r="I664" s="19">
        <f>I660-SUM(I661:I663)</f>
        <v>6958320.5600000005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137.61000000000001</v>
      </c>
      <c r="G665" s="248">
        <v>58.52</v>
      </c>
      <c r="H665" s="248">
        <v>95.58</v>
      </c>
      <c r="I665" s="19">
        <f>SUM(F665:H665)</f>
        <v>291.71000000000004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23321.55</v>
      </c>
      <c r="G667" s="19">
        <f>ROUND(G664/G665,2)</f>
        <v>24705.06</v>
      </c>
      <c r="H667" s="19">
        <f>ROUND(H664/H665,2)</f>
        <v>24098.15</v>
      </c>
      <c r="I667" s="19">
        <f>ROUND(I664/I665,2)</f>
        <v>23853.56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-2.56</v>
      </c>
      <c r="I670" s="19">
        <f>SUM(F670:H670)</f>
        <v>-2.56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23321.55</v>
      </c>
      <c r="G672" s="19">
        <f>ROUND((G664+G669)/(G665+G670),2)</f>
        <v>24705.06</v>
      </c>
      <c r="H672" s="19">
        <f>ROUND((H664+H669)/(H665+H670),2)</f>
        <v>24761.360000000001</v>
      </c>
      <c r="I672" s="19">
        <f>ROUND((I664+I669)/(I665+I670),2)</f>
        <v>24064.74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copies="3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41" sqref="A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Lincoln-Woodstock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2148800.58</v>
      </c>
      <c r="C9" s="229">
        <f>'DOE25'!G197+'DOE25'!G215+'DOE25'!G233+'DOE25'!G276+'DOE25'!G295+'DOE25'!G314</f>
        <v>1215842.5299999998</v>
      </c>
    </row>
    <row r="10" spans="1:3" x14ac:dyDescent="0.2">
      <c r="A10" t="s">
        <v>773</v>
      </c>
      <c r="B10" s="240">
        <f>831854.61+447739.34+718394.84+84368+1500</f>
        <v>2083856.79</v>
      </c>
      <c r="C10" s="240">
        <f>316242.68+6629.6+864.78+172.08+61786.77+170.7+153146.94+861.74+4702.61+128395.65+3704.74+373.5+88.02+32930.77+28.45+78568.65+463.83+2531.15+226017.78+4264.42+756.05+122.4+52045.53+121272.6+744.21+4061.21+6190.87+8704.8-4968.2</f>
        <v>1210874.3300000003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f>38349.95+11773.84+14820</f>
        <v>64943.789999999994</v>
      </c>
      <c r="C12" s="240">
        <v>4968.2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2148800.58</v>
      </c>
      <c r="C13" s="231">
        <f>SUM(C10:C12)</f>
        <v>1215842.5300000003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495350.54999999993</v>
      </c>
      <c r="C18" s="229">
        <f>'DOE25'!G198+'DOE25'!G216+'DOE25'!G234+'DOE25'!G277+'DOE25'!G296+'DOE25'!G315</f>
        <v>231830.13999999998</v>
      </c>
    </row>
    <row r="19" spans="1:3" x14ac:dyDescent="0.2">
      <c r="A19" t="s">
        <v>773</v>
      </c>
      <c r="B19" s="240">
        <f>241492.55+84366.85+77729.97+2953.75+1225+2400+33251.4+2000-147251</f>
        <v>298168.52</v>
      </c>
      <c r="C19" s="240">
        <f>75872.49+2079.72+182.74+20662.19+10079.9+25352.71+284.62+1553.18+23978.98+385.75+65.8+5917.9+2310.59+11121.26+87.4+476.94+15657.22+678.59+85.4+5840.07+2562.49+7044.41+80.52+439.42+221.73+107.55+167.09+3.06+16.7+86.33+212.66+1.27+6.93+183.62+136.56+2.49+13.57+9004.59+260.1+2390.47+5772.44+131.37+68.28+243.04-97576.64-3819.72</f>
        <v>130433.77999999994</v>
      </c>
    </row>
    <row r="20" spans="1:3" x14ac:dyDescent="0.2">
      <c r="A20" t="s">
        <v>774</v>
      </c>
      <c r="B20" s="240">
        <v>147251</v>
      </c>
      <c r="C20" s="240">
        <f>69864+16447.94+11264.7</f>
        <v>97576.639999999999</v>
      </c>
    </row>
    <row r="21" spans="1:3" x14ac:dyDescent="0.2">
      <c r="A21" t="s">
        <v>775</v>
      </c>
      <c r="B21" s="240">
        <f>46756.03+337.5+2837.5</f>
        <v>49931.03</v>
      </c>
      <c r="C21" s="240">
        <v>3819.72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495350.55000000005</v>
      </c>
      <c r="C22" s="231">
        <f>SUM(C19:C21)</f>
        <v>231830.13999999993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72744.989999999991</v>
      </c>
      <c r="C36" s="235">
        <f>'DOE25'!G200+'DOE25'!G218+'DOE25'!G236+'DOE25'!G279+'DOE25'!G298+'DOE25'!G317</f>
        <v>13253.32</v>
      </c>
    </row>
    <row r="37" spans="1:3" x14ac:dyDescent="0.2">
      <c r="A37" t="s">
        <v>773</v>
      </c>
      <c r="B37" s="240">
        <f>11525+700+5699.99-4485</f>
        <v>13439.989999999998</v>
      </c>
      <c r="C37" s="240">
        <f>867.6+400.01+620.62+53.55+121.52+423.12+989.53-743.11</f>
        <v>2732.8399999999997</v>
      </c>
    </row>
    <row r="38" spans="1:3" x14ac:dyDescent="0.2">
      <c r="A38" t="s">
        <v>774</v>
      </c>
      <c r="B38" s="240">
        <v>4485</v>
      </c>
      <c r="C38" s="240">
        <f>400.01+343.1</f>
        <v>743.11</v>
      </c>
    </row>
    <row r="39" spans="1:3" x14ac:dyDescent="0.2">
      <c r="A39" t="s">
        <v>775</v>
      </c>
      <c r="B39" s="240">
        <f>689+10307+43824</f>
        <v>54820</v>
      </c>
      <c r="C39" s="240">
        <f>48.69+119.61+811.79+1181.69+11.39+62.17+5.4+3278.26+628.75+3026.96+45.4+247.74+309.52</f>
        <v>9777.369999999999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72744.989999999991</v>
      </c>
      <c r="C40" s="231">
        <f>SUM(C37:C39)</f>
        <v>13253.32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Lincoln-Woodstock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4396880.68</v>
      </c>
      <c r="D5" s="20">
        <f>SUM('DOE25'!L197:L200)+SUM('DOE25'!L215:L218)+SUM('DOE25'!L233:L236)-F5-G5</f>
        <v>4337069.05</v>
      </c>
      <c r="E5" s="243"/>
      <c r="F5" s="255">
        <f>SUM('DOE25'!J197:J200)+SUM('DOE25'!J215:J218)+SUM('DOE25'!J233:J236)</f>
        <v>46655.960000000006</v>
      </c>
      <c r="G5" s="53">
        <f>SUM('DOE25'!K197:K200)+SUM('DOE25'!K215:K218)+SUM('DOE25'!K233:K236)</f>
        <v>13155.67</v>
      </c>
      <c r="H5" s="259"/>
    </row>
    <row r="6" spans="1:9" x14ac:dyDescent="0.2">
      <c r="A6" s="32">
        <v>2100</v>
      </c>
      <c r="B6" t="s">
        <v>795</v>
      </c>
      <c r="C6" s="245">
        <f t="shared" si="0"/>
        <v>624319.56000000006</v>
      </c>
      <c r="D6" s="20">
        <f>'DOE25'!L202+'DOE25'!L220+'DOE25'!L238-F6-G6</f>
        <v>623575.97000000009</v>
      </c>
      <c r="E6" s="243"/>
      <c r="F6" s="255">
        <f>'DOE25'!J202+'DOE25'!J220+'DOE25'!J238</f>
        <v>494.59000000000003</v>
      </c>
      <c r="G6" s="53">
        <f>'DOE25'!K202+'DOE25'!K220+'DOE25'!K238</f>
        <v>249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174982.19</v>
      </c>
      <c r="D7" s="20">
        <f>'DOE25'!L203+'DOE25'!L221+'DOE25'!L239-F7-G7</f>
        <v>174822.19</v>
      </c>
      <c r="E7" s="243"/>
      <c r="F7" s="255">
        <f>'DOE25'!J203+'DOE25'!J221+'DOE25'!J239</f>
        <v>0</v>
      </c>
      <c r="G7" s="53">
        <f>'DOE25'!K203+'DOE25'!K221+'DOE25'!K239</f>
        <v>160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443019.27000000008</v>
      </c>
      <c r="D8" s="243"/>
      <c r="E8" s="20">
        <f>'DOE25'!L204+'DOE25'!L222+'DOE25'!L240-F8-G8-D9-D11</f>
        <v>435867.72000000009</v>
      </c>
      <c r="F8" s="255">
        <f>'DOE25'!J204+'DOE25'!J222+'DOE25'!J240</f>
        <v>0</v>
      </c>
      <c r="G8" s="53">
        <f>'DOE25'!K204+'DOE25'!K222+'DOE25'!K240</f>
        <v>7151.55</v>
      </c>
      <c r="H8" s="259"/>
    </row>
    <row r="9" spans="1:9" x14ac:dyDescent="0.2">
      <c r="A9" s="32">
        <v>2310</v>
      </c>
      <c r="B9" t="s">
        <v>812</v>
      </c>
      <c r="C9" s="245">
        <f t="shared" si="0"/>
        <v>15082.36</v>
      </c>
      <c r="D9" s="244">
        <v>15082.36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11200</v>
      </c>
      <c r="D10" s="243"/>
      <c r="E10" s="244">
        <v>11200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177896.61</v>
      </c>
      <c r="D11" s="244">
        <f>131660.22+46236.39</f>
        <v>177896.61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395216</v>
      </c>
      <c r="D12" s="20">
        <f>'DOE25'!L205+'DOE25'!L223+'DOE25'!L241-F12-G12</f>
        <v>389717</v>
      </c>
      <c r="E12" s="243"/>
      <c r="F12" s="255">
        <f>'DOE25'!J205+'DOE25'!J223+'DOE25'!J241</f>
        <v>0</v>
      </c>
      <c r="G12" s="53">
        <f>'DOE25'!K205+'DOE25'!K223+'DOE25'!K241</f>
        <v>5499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498854.11</v>
      </c>
      <c r="D14" s="20">
        <f>'DOE25'!L207+'DOE25'!L225+'DOE25'!L243-F14-G14</f>
        <v>468551.1</v>
      </c>
      <c r="E14" s="243"/>
      <c r="F14" s="255">
        <f>'DOE25'!J207+'DOE25'!J225+'DOE25'!J243</f>
        <v>8863.380000000001</v>
      </c>
      <c r="G14" s="53">
        <f>'DOE25'!K207+'DOE25'!K225+'DOE25'!K243</f>
        <v>21439.629999999997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213571.26</v>
      </c>
      <c r="D15" s="20">
        <f>'DOE25'!L208+'DOE25'!L226+'DOE25'!L244-F15-G15</f>
        <v>213571.26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746</v>
      </c>
      <c r="D16" s="243"/>
      <c r="E16" s="20">
        <f>'DOE25'!L209+'DOE25'!L227+'DOE25'!L245-F16-G16</f>
        <v>746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173203.65</v>
      </c>
      <c r="D29" s="20">
        <f>'DOE25'!L358+'DOE25'!L359+'DOE25'!L360-'DOE25'!I367-F29-G29</f>
        <v>180376.54</v>
      </c>
      <c r="E29" s="243"/>
      <c r="F29" s="255">
        <f>'DOE25'!J358+'DOE25'!J359+'DOE25'!J360</f>
        <v>0</v>
      </c>
      <c r="G29" s="53">
        <f>'DOE25'!K358+'DOE25'!K359+'DOE25'!K360</f>
        <v>-7172.89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268897.76</v>
      </c>
      <c r="D31" s="20">
        <f>'DOE25'!L290+'DOE25'!L309+'DOE25'!L328+'DOE25'!L333+'DOE25'!L334+'DOE25'!L335-F31-G31</f>
        <v>234172.44</v>
      </c>
      <c r="E31" s="243"/>
      <c r="F31" s="255">
        <f>'DOE25'!J290+'DOE25'!J309+'DOE25'!J328+'DOE25'!J333+'DOE25'!J334+'DOE25'!J335</f>
        <v>29928.37</v>
      </c>
      <c r="G31" s="53">
        <f>'DOE25'!K290+'DOE25'!K309+'DOE25'!K328+'DOE25'!K333+'DOE25'!K334+'DOE25'!K335</f>
        <v>4796.95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6814834.5200000005</v>
      </c>
      <c r="E33" s="246">
        <f>SUM(E5:E31)</f>
        <v>447813.72000000009</v>
      </c>
      <c r="F33" s="246">
        <f>SUM(F5:F31)</f>
        <v>85942.3</v>
      </c>
      <c r="G33" s="246">
        <f>SUM(G5:G31)</f>
        <v>45278.909999999996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447813.72000000009</v>
      </c>
      <c r="E35" s="249"/>
    </row>
    <row r="36" spans="2:8" ht="12" thickTop="1" x14ac:dyDescent="0.2">
      <c r="B36" t="s">
        <v>809</v>
      </c>
      <c r="D36" s="20">
        <f>D33</f>
        <v>6814834.5200000005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749520.57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450319.59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351510.47</v>
      </c>
      <c r="D11" s="95">
        <f>'DOE25'!G12</f>
        <v>1277</v>
      </c>
      <c r="E11" s="95">
        <f>'DOE25'!H12</f>
        <v>16562.71</v>
      </c>
      <c r="F11" s="95">
        <f>'DOE25'!I12</f>
        <v>123980.98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3735.57</v>
      </c>
      <c r="E12" s="95">
        <f>'DOE25'!H13</f>
        <v>107070.54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25714.61</v>
      </c>
      <c r="D13" s="95">
        <f>'DOE25'!G14</f>
        <v>4201.1000000000004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83953.94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1210699.5900000001</v>
      </c>
      <c r="D18" s="41">
        <f>SUM(D8:D17)</f>
        <v>9213.67</v>
      </c>
      <c r="E18" s="41">
        <f>SUM(E8:E17)</f>
        <v>123633.25</v>
      </c>
      <c r="F18" s="41">
        <f>SUM(F8:F17)</f>
        <v>123980.98</v>
      </c>
      <c r="G18" s="41">
        <f>SUM(G8:G17)</f>
        <v>450319.59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535105.28000000003</v>
      </c>
      <c r="D21" s="95">
        <f>'DOE25'!G22</f>
        <v>0</v>
      </c>
      <c r="E21" s="95">
        <f>'DOE25'!H22</f>
        <v>97510.43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170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267031.14</v>
      </c>
      <c r="D27" s="95">
        <f>'DOE25'!G28</f>
        <v>0</v>
      </c>
      <c r="E27" s="95">
        <f>'DOE25'!H28</f>
        <v>18984.849999999999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26587.5</v>
      </c>
      <c r="D29" s="95">
        <f>'DOE25'!G30</f>
        <v>0</v>
      </c>
      <c r="E29" s="95">
        <f>'DOE25'!H30</f>
        <v>2057.04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828723.92</v>
      </c>
      <c r="D31" s="41">
        <f>SUM(D21:D30)</f>
        <v>170</v>
      </c>
      <c r="E31" s="41">
        <f>SUM(E21:E30)</f>
        <v>118552.31999999999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9043.67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95000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28980.98</v>
      </c>
      <c r="G47" s="95">
        <f>'DOE25'!J48</f>
        <v>450319.59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36353.14</v>
      </c>
      <c r="D48" s="95">
        <f>'DOE25'!G49</f>
        <v>0</v>
      </c>
      <c r="E48" s="95">
        <f>'DOE25'!H49</f>
        <v>5080.93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145622.53000000009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381975.6700000001</v>
      </c>
      <c r="D50" s="41">
        <f>SUM(D34:D49)</f>
        <v>9043.67</v>
      </c>
      <c r="E50" s="41">
        <f>SUM(E34:E49)</f>
        <v>5080.93</v>
      </c>
      <c r="F50" s="41">
        <f>SUM(F34:F49)</f>
        <v>123980.98</v>
      </c>
      <c r="G50" s="41">
        <f>SUM(G34:G49)</f>
        <v>450319.59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1210699.5900000001</v>
      </c>
      <c r="D51" s="41">
        <f>D50+D31</f>
        <v>9213.67</v>
      </c>
      <c r="E51" s="41">
        <f>E50+E31</f>
        <v>123633.25</v>
      </c>
      <c r="F51" s="41">
        <f>F50+F31</f>
        <v>123980.98</v>
      </c>
      <c r="G51" s="41">
        <f>G50+G31</f>
        <v>450319.59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4185304</v>
      </c>
      <c r="D56" s="95">
        <f>'DOE25'!G60</f>
        <v>0</v>
      </c>
      <c r="E56" s="95">
        <f>'DOE25'!H60</f>
        <v>0</v>
      </c>
      <c r="F56" s="95">
        <f>'DOE25'!I60</f>
        <v>140000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20150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1343.94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61074.05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17423.550000000003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37573.850000000006</v>
      </c>
      <c r="D62" s="130">
        <f>SUM(D57:D61)</f>
        <v>61074.05</v>
      </c>
      <c r="E62" s="130">
        <f>SUM(E57:E61)</f>
        <v>0</v>
      </c>
      <c r="F62" s="130">
        <f>SUM(F57:F61)</f>
        <v>0</v>
      </c>
      <c r="G62" s="130">
        <f>SUM(G57:G61)</f>
        <v>1343.94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4222877.8499999996</v>
      </c>
      <c r="D63" s="22">
        <f>D56+D62</f>
        <v>61074.05</v>
      </c>
      <c r="E63" s="22">
        <f>E56+E62</f>
        <v>0</v>
      </c>
      <c r="F63" s="22">
        <f>F56+F62</f>
        <v>140000</v>
      </c>
      <c r="G63" s="22">
        <f>G56+G62</f>
        <v>1343.94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347133.26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2511395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2159.88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2860688.1399999997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12406.4</v>
      </c>
      <c r="D76" s="24" t="s">
        <v>286</v>
      </c>
      <c r="E76" s="95">
        <f>SUM('DOE25'!H127:H130)</f>
        <v>6500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1796.19</v>
      </c>
      <c r="E77" s="95">
        <f>SUM('DOE25'!H131:H135)</f>
        <v>19021.89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12406.4</v>
      </c>
      <c r="D78" s="130">
        <f>SUM(D72:D77)</f>
        <v>1796.19</v>
      </c>
      <c r="E78" s="130">
        <f>SUM(E72:E77)</f>
        <v>25521.89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2873094.5399999996</v>
      </c>
      <c r="D81" s="130">
        <f>SUM(D79:D80)+D78+D70</f>
        <v>1796.19</v>
      </c>
      <c r="E81" s="130">
        <f>SUM(E79:E80)+E78+E70</f>
        <v>25521.89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7172.89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37166.480000000003</v>
      </c>
      <c r="D88" s="95">
        <f>SUM('DOE25'!G153:G161)</f>
        <v>73294.83</v>
      </c>
      <c r="E88" s="95">
        <f>SUM('DOE25'!H153:H161)</f>
        <v>236202.98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49072.55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86239.03</v>
      </c>
      <c r="D91" s="131">
        <f>SUM(D85:D90)</f>
        <v>73294.83</v>
      </c>
      <c r="E91" s="131">
        <f>SUM(E85:E90)</f>
        <v>243375.87000000002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37038.58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37038.58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759</v>
      </c>
      <c r="C104" s="86">
        <f>C63+C81+C91+C103</f>
        <v>7182211.419999999</v>
      </c>
      <c r="D104" s="86">
        <f>D63+D81+D91+D103</f>
        <v>173203.65000000002</v>
      </c>
      <c r="E104" s="86">
        <f>E63+E81+E91+E103</f>
        <v>268897.76</v>
      </c>
      <c r="F104" s="86">
        <f>F63+F81+F91+F103</f>
        <v>140000</v>
      </c>
      <c r="G104" s="86">
        <f>G63+G81+G103</f>
        <v>101343.94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3515410.11</v>
      </c>
      <c r="D109" s="24" t="s">
        <v>286</v>
      </c>
      <c r="E109" s="95">
        <f>('DOE25'!L276)+('DOE25'!L295)+('DOE25'!L314)</f>
        <v>123639.98999999999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738602.49999999988</v>
      </c>
      <c r="D110" s="24" t="s">
        <v>286</v>
      </c>
      <c r="E110" s="95">
        <f>('DOE25'!L277)+('DOE25'!L296)+('DOE25'!L315)</f>
        <v>65376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18431.760000000002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124436.31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4396880.6799999988</v>
      </c>
      <c r="D115" s="86">
        <f>SUM(D109:D114)</f>
        <v>0</v>
      </c>
      <c r="E115" s="86">
        <f>SUM(E109:E114)</f>
        <v>189015.99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624319.56000000006</v>
      </c>
      <c r="D118" s="24" t="s">
        <v>286</v>
      </c>
      <c r="E118" s="95">
        <f>+('DOE25'!L281)+('DOE25'!L300)+('DOE25'!L319)</f>
        <v>7423.15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174982.19</v>
      </c>
      <c r="D119" s="24" t="s">
        <v>286</v>
      </c>
      <c r="E119" s="95">
        <f>+('DOE25'!L282)+('DOE25'!L301)+('DOE25'!L320)</f>
        <v>53436.73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635998.24000000011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395216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498854.11</v>
      </c>
      <c r="D123" s="24" t="s">
        <v>286</v>
      </c>
      <c r="E123" s="95">
        <f>+('DOE25'!L286)+('DOE25'!L305)+('DOE25'!L324)</f>
        <v>19021.89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213571.26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746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173203.65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2543687.3600000003</v>
      </c>
      <c r="D128" s="86">
        <f>SUM(D118:D127)</f>
        <v>173203.65</v>
      </c>
      <c r="E128" s="86">
        <f>SUM(E118:E127)</f>
        <v>79881.77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42321.64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37038.58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101343.94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-1343.9400000000023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53631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190669.58000000002</v>
      </c>
      <c r="D144" s="141">
        <f>SUM(D130:D143)</f>
        <v>0</v>
      </c>
      <c r="E144" s="141">
        <f>SUM(E130:E143)</f>
        <v>0</v>
      </c>
      <c r="F144" s="141">
        <f>SUM(F130:F143)</f>
        <v>42321.64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7131237.6199999992</v>
      </c>
      <c r="D145" s="86">
        <f>(D115+D128+D144)</f>
        <v>173203.65</v>
      </c>
      <c r="E145" s="86">
        <f>(E115+E128+E144)</f>
        <v>268897.76</v>
      </c>
      <c r="F145" s="86">
        <f>(F115+F128+F144)</f>
        <v>42321.64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Lincoln-Woodstock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23322</v>
      </c>
    </row>
    <row r="5" spans="1:4" x14ac:dyDescent="0.2">
      <c r="B5" t="s">
        <v>698</v>
      </c>
      <c r="C5" s="179">
        <f>IF('DOE25'!G665+'DOE25'!G670=0,0,ROUND('DOE25'!G672,0))</f>
        <v>24705</v>
      </c>
    </row>
    <row r="6" spans="1:4" x14ac:dyDescent="0.2">
      <c r="B6" t="s">
        <v>62</v>
      </c>
      <c r="C6" s="179">
        <f>IF('DOE25'!H665+'DOE25'!H670=0,0,ROUND('DOE25'!H672,0))</f>
        <v>24761</v>
      </c>
    </row>
    <row r="7" spans="1:4" x14ac:dyDescent="0.2">
      <c r="B7" t="s">
        <v>699</v>
      </c>
      <c r="C7" s="179">
        <f>IF('DOE25'!I665+'DOE25'!I670=0,0,ROUND('DOE25'!I672,0))</f>
        <v>24065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3639050</v>
      </c>
      <c r="D10" s="182">
        <f>ROUND((C10/$C$28)*100,1)</f>
        <v>49.3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803979</v>
      </c>
      <c r="D11" s="182">
        <f>ROUND((C11/$C$28)*100,1)</f>
        <v>10.9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18432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124436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631743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228419</v>
      </c>
      <c r="D16" s="182">
        <f t="shared" si="0"/>
        <v>3.1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636744</v>
      </c>
      <c r="D17" s="182">
        <f t="shared" si="0"/>
        <v>8.6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395216</v>
      </c>
      <c r="D18" s="182">
        <f t="shared" si="0"/>
        <v>5.4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517876</v>
      </c>
      <c r="D20" s="182">
        <f t="shared" si="0"/>
        <v>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213571</v>
      </c>
      <c r="D21" s="182">
        <f t="shared" si="0"/>
        <v>2.9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53631</v>
      </c>
      <c r="D26" s="182">
        <f t="shared" si="0"/>
        <v>0.7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112129.95</v>
      </c>
      <c r="D27" s="182">
        <f t="shared" si="0"/>
        <v>1.5</v>
      </c>
    </row>
    <row r="28" spans="1:4" x14ac:dyDescent="0.2">
      <c r="B28" s="187" t="s">
        <v>717</v>
      </c>
      <c r="C28" s="180">
        <f>SUM(C10:C27)</f>
        <v>7375226.9500000002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42322</v>
      </c>
    </row>
    <row r="30" spans="1:4" x14ac:dyDescent="0.2">
      <c r="B30" s="187" t="s">
        <v>723</v>
      </c>
      <c r="C30" s="180">
        <f>SUM(C28:C29)</f>
        <v>7417548.9500000002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4325304</v>
      </c>
      <c r="D35" s="182">
        <f t="shared" ref="D35:D40" si="1">ROUND((C35/$C$41)*100,1)</f>
        <v>56.4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38917.790000000037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2858528</v>
      </c>
      <c r="D37" s="182">
        <f t="shared" si="1"/>
        <v>37.299999999999997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41884</v>
      </c>
      <c r="D38" s="182">
        <f t="shared" si="1"/>
        <v>0.5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402910</v>
      </c>
      <c r="D39" s="182">
        <f t="shared" si="1"/>
        <v>5.3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7667543.79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Lincoln-Woodstock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5</v>
      </c>
      <c r="B4" s="219">
        <v>2</v>
      </c>
      <c r="C4" s="286" t="s">
        <v>913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2018-10-03T12:03:53Z</cp:lastPrinted>
  <dcterms:created xsi:type="dcterms:W3CDTF">1997-12-04T19:04:30Z</dcterms:created>
  <dcterms:modified xsi:type="dcterms:W3CDTF">2018-12-03T19:15:13Z</dcterms:modified>
</cp:coreProperties>
</file>