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68" i="1" l="1"/>
  <c r="F12" i="1"/>
  <c r="F128" i="1"/>
  <c r="F314" i="1" l="1"/>
  <c r="C45" i="2" l="1"/>
  <c r="G51" i="1"/>
  <c r="G623" i="1" s="1"/>
  <c r="F51" i="1"/>
  <c r="C37" i="10"/>
  <c r="F40" i="2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C68" i="2"/>
  <c r="B2" i="13"/>
  <c r="F8" i="13"/>
  <c r="G8" i="13"/>
  <c r="L222" i="1"/>
  <c r="L240" i="1"/>
  <c r="D39" i="13"/>
  <c r="F13" i="13"/>
  <c r="G13" i="13"/>
  <c r="E13" i="13" s="1"/>
  <c r="C13" i="13" s="1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G649" i="1" s="1"/>
  <c r="L226" i="1"/>
  <c r="L244" i="1"/>
  <c r="G651" i="1" s="1"/>
  <c r="J651" i="1" s="1"/>
  <c r="F17" i="13"/>
  <c r="D17" i="13" s="1"/>
  <c r="C17" i="13" s="1"/>
  <c r="G17" i="13"/>
  <c r="L251" i="1"/>
  <c r="F18" i="13"/>
  <c r="G18" i="13"/>
  <c r="D18" i="13" s="1"/>
  <c r="L252" i="1"/>
  <c r="F19" i="13"/>
  <c r="G19" i="13"/>
  <c r="L253" i="1"/>
  <c r="D19" i="13" s="1"/>
  <c r="C19" i="13" s="1"/>
  <c r="F29" i="13"/>
  <c r="G29" i="13"/>
  <c r="L358" i="1"/>
  <c r="L359" i="1"/>
  <c r="F661" i="1" s="1"/>
  <c r="I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E112" i="2" s="1"/>
  <c r="L319" i="1"/>
  <c r="L320" i="1"/>
  <c r="E119" i="2" s="1"/>
  <c r="L321" i="1"/>
  <c r="L322" i="1"/>
  <c r="E121" i="2" s="1"/>
  <c r="L323" i="1"/>
  <c r="L324" i="1"/>
  <c r="E123" i="2" s="1"/>
  <c r="L325" i="1"/>
  <c r="L326" i="1"/>
  <c r="E125" i="2" s="1"/>
  <c r="L333" i="1"/>
  <c r="L334" i="1"/>
  <c r="L335" i="1"/>
  <c r="L260" i="1"/>
  <c r="C32" i="10" s="1"/>
  <c r="L261" i="1"/>
  <c r="L341" i="1"/>
  <c r="L342" i="1"/>
  <c r="E132" i="2" s="1"/>
  <c r="E144" i="2" s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A22" i="12" s="1"/>
  <c r="B22" i="12"/>
  <c r="C18" i="12"/>
  <c r="C22" i="12"/>
  <c r="B1" i="12"/>
  <c r="L387" i="1"/>
  <c r="L388" i="1"/>
  <c r="L389" i="1"/>
  <c r="L390" i="1"/>
  <c r="L393" i="1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56" i="2" s="1"/>
  <c r="F63" i="2" s="1"/>
  <c r="F79" i="1"/>
  <c r="C57" i="2"/>
  <c r="F94" i="1"/>
  <c r="F111" i="1"/>
  <c r="F112" i="1" s="1"/>
  <c r="G111" i="1"/>
  <c r="G112" i="1"/>
  <c r="H79" i="1"/>
  <c r="H94" i="1"/>
  <c r="H111" i="1"/>
  <c r="I111" i="1"/>
  <c r="J111" i="1"/>
  <c r="F121" i="1"/>
  <c r="F136" i="1"/>
  <c r="G121" i="1"/>
  <c r="G140" i="1" s="1"/>
  <c r="G136" i="1"/>
  <c r="H121" i="1"/>
  <c r="H140" i="1" s="1"/>
  <c r="H136" i="1"/>
  <c r="I121" i="1"/>
  <c r="I140" i="1" s="1"/>
  <c r="I136" i="1"/>
  <c r="J121" i="1"/>
  <c r="J140" i="1" s="1"/>
  <c r="J136" i="1"/>
  <c r="F147" i="1"/>
  <c r="C85" i="2" s="1"/>
  <c r="F162" i="1"/>
  <c r="G147" i="1"/>
  <c r="G169" i="1" s="1"/>
  <c r="G162" i="1"/>
  <c r="H147" i="1"/>
  <c r="H162" i="1"/>
  <c r="I147" i="1"/>
  <c r="F85" i="2" s="1"/>
  <c r="I162" i="1"/>
  <c r="L250" i="1"/>
  <c r="L332" i="1"/>
  <c r="E113" i="2" s="1"/>
  <c r="L254" i="1"/>
  <c r="L268" i="1"/>
  <c r="L269" i="1"/>
  <c r="L349" i="1"/>
  <c r="E142" i="2" s="1"/>
  <c r="L350" i="1"/>
  <c r="I665" i="1"/>
  <c r="I670" i="1"/>
  <c r="G661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I446" i="1" s="1"/>
  <c r="G642" i="1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I45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 s="1"/>
  <c r="I457" i="1"/>
  <c r="J37" i="1" s="1"/>
  <c r="I459" i="1"/>
  <c r="J48" i="1" s="1"/>
  <c r="G47" i="2" s="1"/>
  <c r="C49" i="2"/>
  <c r="C56" i="2"/>
  <c r="E56" i="2"/>
  <c r="E57" i="2"/>
  <c r="C58" i="2"/>
  <c r="C59" i="2"/>
  <c r="D59" i="2"/>
  <c r="E59" i="2"/>
  <c r="F59" i="2"/>
  <c r="D60" i="2"/>
  <c r="C61" i="2"/>
  <c r="D61" i="2"/>
  <c r="D62" i="2" s="1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E78" i="2" s="1"/>
  <c r="F77" i="2"/>
  <c r="G77" i="2"/>
  <c r="G78" i="2" s="1"/>
  <c r="G81" i="2" s="1"/>
  <c r="C79" i="2"/>
  <c r="D79" i="2"/>
  <c r="E79" i="2"/>
  <c r="C80" i="2"/>
  <c r="E80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C113" i="2"/>
  <c r="C114" i="2"/>
  <c r="D115" i="2"/>
  <c r="F115" i="2"/>
  <c r="G115" i="2"/>
  <c r="E118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G158" i="2" s="1"/>
  <c r="E158" i="2"/>
  <c r="F158" i="2"/>
  <c r="B159" i="2"/>
  <c r="C159" i="2"/>
  <c r="G159" i="2" s="1"/>
  <c r="D159" i="2"/>
  <c r="E159" i="2"/>
  <c r="F159" i="2"/>
  <c r="B160" i="2"/>
  <c r="G160" i="2" s="1"/>
  <c r="C160" i="2"/>
  <c r="D160" i="2"/>
  <c r="E160" i="2"/>
  <c r="F160" i="2"/>
  <c r="F500" i="1"/>
  <c r="B161" i="2" s="1"/>
  <c r="G500" i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/>
  <c r="H503" i="1"/>
  <c r="K503" i="1" s="1"/>
  <c r="I503" i="1"/>
  <c r="E164" i="2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H32" i="1"/>
  <c r="I32" i="1"/>
  <c r="H51" i="1"/>
  <c r="I51" i="1"/>
  <c r="I52" i="1" s="1"/>
  <c r="H620" i="1" s="1"/>
  <c r="J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I192" i="1" s="1"/>
  <c r="F211" i="1"/>
  <c r="H211" i="1"/>
  <c r="I211" i="1"/>
  <c r="J211" i="1"/>
  <c r="J257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G338" i="1" s="1"/>
  <c r="G352" i="1" s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G452" i="1"/>
  <c r="H452" i="1"/>
  <c r="F460" i="1"/>
  <c r="G460" i="1"/>
  <c r="G461" i="1" s="1"/>
  <c r="H640" i="1" s="1"/>
  <c r="H460" i="1"/>
  <c r="I460" i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H545" i="1" s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5" i="1"/>
  <c r="J625" i="1" s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H639" i="1"/>
  <c r="G640" i="1"/>
  <c r="G641" i="1"/>
  <c r="J641" i="1" s="1"/>
  <c r="H641" i="1"/>
  <c r="G643" i="1"/>
  <c r="G644" i="1"/>
  <c r="G645" i="1"/>
  <c r="J645" i="1" s="1"/>
  <c r="H645" i="1"/>
  <c r="G652" i="1"/>
  <c r="H652" i="1"/>
  <c r="J652" i="1" s="1"/>
  <c r="G653" i="1"/>
  <c r="J653" i="1" s="1"/>
  <c r="H653" i="1"/>
  <c r="G654" i="1"/>
  <c r="H654" i="1"/>
  <c r="J654" i="1" s="1"/>
  <c r="H655" i="1"/>
  <c r="C18" i="13"/>
  <c r="D29" i="13"/>
  <c r="C29" i="13" s="1"/>
  <c r="L427" i="1"/>
  <c r="I476" i="1"/>
  <c r="H625" i="1" s="1"/>
  <c r="F169" i="1"/>
  <c r="F571" i="1"/>
  <c r="F22" i="13"/>
  <c r="C22" i="13" s="1"/>
  <c r="G192" i="1"/>
  <c r="H192" i="1"/>
  <c r="L570" i="1"/>
  <c r="G36" i="2"/>
  <c r="F62" i="2"/>
  <c r="C103" i="2"/>
  <c r="E50" i="2"/>
  <c r="L407" i="1"/>
  <c r="C140" i="2" s="1"/>
  <c r="F434" i="1"/>
  <c r="G42" i="2"/>
  <c r="I434" i="1"/>
  <c r="H662" i="1"/>
  <c r="C119" i="2"/>
  <c r="G211" i="1"/>
  <c r="L204" i="1"/>
  <c r="H661" i="1"/>
  <c r="J552" i="1"/>
  <c r="G624" i="1"/>
  <c r="C15" i="10"/>
  <c r="E110" i="2"/>
  <c r="C50" i="2" l="1"/>
  <c r="C78" i="2"/>
  <c r="C70" i="2"/>
  <c r="F140" i="1"/>
  <c r="C38" i="10" s="1"/>
  <c r="K605" i="1"/>
  <c r="G648" i="1" s="1"/>
  <c r="I663" i="1"/>
  <c r="F476" i="1"/>
  <c r="H622" i="1" s="1"/>
  <c r="G476" i="1"/>
  <c r="H623" i="1" s="1"/>
  <c r="J623" i="1" s="1"/>
  <c r="J649" i="1"/>
  <c r="F31" i="13"/>
  <c r="L337" i="1"/>
  <c r="C17" i="10"/>
  <c r="G257" i="1"/>
  <c r="L247" i="1"/>
  <c r="C124" i="2"/>
  <c r="H647" i="1"/>
  <c r="H257" i="1"/>
  <c r="H271" i="1" s="1"/>
  <c r="J644" i="1"/>
  <c r="C18" i="2"/>
  <c r="F52" i="1"/>
  <c r="H617" i="1" s="1"/>
  <c r="J617" i="1" s="1"/>
  <c r="E114" i="2"/>
  <c r="F338" i="1"/>
  <c r="F352" i="1" s="1"/>
  <c r="E109" i="2"/>
  <c r="I338" i="1"/>
  <c r="I352" i="1" s="1"/>
  <c r="H338" i="1"/>
  <c r="H352" i="1" s="1"/>
  <c r="C11" i="10"/>
  <c r="H52" i="1"/>
  <c r="H619" i="1" s="1"/>
  <c r="J640" i="1"/>
  <c r="J271" i="1"/>
  <c r="D127" i="2"/>
  <c r="D128" i="2" s="1"/>
  <c r="G271" i="1"/>
  <c r="L614" i="1"/>
  <c r="K598" i="1"/>
  <c r="G647" i="1" s="1"/>
  <c r="J647" i="1" s="1"/>
  <c r="J571" i="1"/>
  <c r="K571" i="1"/>
  <c r="G571" i="1"/>
  <c r="L560" i="1"/>
  <c r="L571" i="1" s="1"/>
  <c r="J545" i="1"/>
  <c r="F545" i="1"/>
  <c r="I545" i="1"/>
  <c r="I257" i="1"/>
  <c r="I271" i="1" s="1"/>
  <c r="F257" i="1"/>
  <c r="F271" i="1" s="1"/>
  <c r="F192" i="1"/>
  <c r="J619" i="1"/>
  <c r="D164" i="2"/>
  <c r="G164" i="2" s="1"/>
  <c r="G156" i="2"/>
  <c r="C123" i="2"/>
  <c r="D103" i="2"/>
  <c r="F31" i="2"/>
  <c r="J22" i="1"/>
  <c r="J10" i="1"/>
  <c r="G9" i="2" s="1"/>
  <c r="G18" i="2" s="1"/>
  <c r="L351" i="1"/>
  <c r="L382" i="1"/>
  <c r="G636" i="1" s="1"/>
  <c r="J636" i="1" s="1"/>
  <c r="E31" i="2"/>
  <c r="E51" i="2" s="1"/>
  <c r="L211" i="1"/>
  <c r="C23" i="10"/>
  <c r="G622" i="1"/>
  <c r="I571" i="1"/>
  <c r="G162" i="2"/>
  <c r="K434" i="1"/>
  <c r="G134" i="2" s="1"/>
  <c r="G144" i="2" s="1"/>
  <c r="G145" i="2" s="1"/>
  <c r="E18" i="2"/>
  <c r="F18" i="2"/>
  <c r="C131" i="2"/>
  <c r="K551" i="1"/>
  <c r="G62" i="2"/>
  <c r="L309" i="1"/>
  <c r="C21" i="10"/>
  <c r="E120" i="2"/>
  <c r="J338" i="1"/>
  <c r="J352" i="1" s="1"/>
  <c r="D12" i="13"/>
  <c r="C12" i="13" s="1"/>
  <c r="I552" i="1"/>
  <c r="J624" i="1"/>
  <c r="I169" i="1"/>
  <c r="I461" i="1"/>
  <c r="H642" i="1" s="1"/>
  <c r="J642" i="1" s="1"/>
  <c r="L433" i="1"/>
  <c r="G434" i="1"/>
  <c r="G193" i="1"/>
  <c r="G628" i="1" s="1"/>
  <c r="J628" i="1" s="1"/>
  <c r="C62" i="2"/>
  <c r="C63" i="2" s="1"/>
  <c r="D63" i="2"/>
  <c r="D104" i="2" s="1"/>
  <c r="L401" i="1"/>
  <c r="C139" i="2" s="1"/>
  <c r="A40" i="12"/>
  <c r="C25" i="10"/>
  <c r="L328" i="1"/>
  <c r="C118" i="2"/>
  <c r="L229" i="1"/>
  <c r="C13" i="10"/>
  <c r="E16" i="13"/>
  <c r="C16" i="13" s="1"/>
  <c r="C19" i="10"/>
  <c r="C138" i="2"/>
  <c r="C141" i="2" s="1"/>
  <c r="K257" i="1"/>
  <c r="K271" i="1" s="1"/>
  <c r="E111" i="2"/>
  <c r="C12" i="10"/>
  <c r="L290" i="1"/>
  <c r="K338" i="1"/>
  <c r="K352" i="1" s="1"/>
  <c r="G31" i="13"/>
  <c r="G33" i="13" s="1"/>
  <c r="J19" i="1"/>
  <c r="G621" i="1" s="1"/>
  <c r="D50" i="2"/>
  <c r="H550" i="1"/>
  <c r="L534" i="1"/>
  <c r="G549" i="1"/>
  <c r="G552" i="1" s="1"/>
  <c r="L529" i="1"/>
  <c r="G545" i="1"/>
  <c r="G157" i="2"/>
  <c r="D18" i="2"/>
  <c r="E124" i="2"/>
  <c r="C121" i="2"/>
  <c r="C18" i="10"/>
  <c r="G38" i="2"/>
  <c r="G50" i="2" s="1"/>
  <c r="J51" i="1"/>
  <c r="E8" i="13"/>
  <c r="C120" i="2"/>
  <c r="D145" i="2"/>
  <c r="G21" i="2"/>
  <c r="G31" i="2" s="1"/>
  <c r="J32" i="1"/>
  <c r="D31" i="2"/>
  <c r="K545" i="1"/>
  <c r="J434" i="1"/>
  <c r="K500" i="1"/>
  <c r="C161" i="2"/>
  <c r="C29" i="10"/>
  <c r="H434" i="1"/>
  <c r="L419" i="1"/>
  <c r="L434" i="1" s="1"/>
  <c r="G638" i="1" s="1"/>
  <c r="J638" i="1" s="1"/>
  <c r="G163" i="2"/>
  <c r="C122" i="2"/>
  <c r="C112" i="2"/>
  <c r="F103" i="2"/>
  <c r="F78" i="2"/>
  <c r="F81" i="2" s="1"/>
  <c r="C31" i="2"/>
  <c r="F549" i="1"/>
  <c r="L524" i="1"/>
  <c r="E58" i="2"/>
  <c r="E62" i="2" s="1"/>
  <c r="E63" i="2" s="1"/>
  <c r="H112" i="1"/>
  <c r="I112" i="1"/>
  <c r="I193" i="1" s="1"/>
  <c r="G630" i="1" s="1"/>
  <c r="J630" i="1" s="1"/>
  <c r="A13" i="12"/>
  <c r="A31" i="12"/>
  <c r="H25" i="13"/>
  <c r="L362" i="1"/>
  <c r="F33" i="13"/>
  <c r="C110" i="2"/>
  <c r="F144" i="2"/>
  <c r="F145" i="2" s="1"/>
  <c r="G103" i="2"/>
  <c r="E85" i="2"/>
  <c r="E91" i="2" s="1"/>
  <c r="H169" i="1"/>
  <c r="C39" i="10" s="1"/>
  <c r="G56" i="2"/>
  <c r="J112" i="1"/>
  <c r="J193" i="1" s="1"/>
  <c r="C24" i="10"/>
  <c r="G662" i="1"/>
  <c r="G650" i="1"/>
  <c r="J650" i="1" s="1"/>
  <c r="C16" i="10"/>
  <c r="D7" i="13"/>
  <c r="C7" i="13" s="1"/>
  <c r="D5" i="13"/>
  <c r="D6" i="13"/>
  <c r="C6" i="13" s="1"/>
  <c r="D15" i="13"/>
  <c r="C15" i="13" s="1"/>
  <c r="C125" i="2"/>
  <c r="C35" i="10"/>
  <c r="E81" i="2"/>
  <c r="J643" i="1"/>
  <c r="L256" i="1"/>
  <c r="G52" i="1"/>
  <c r="H618" i="1" s="1"/>
  <c r="J618" i="1" s="1"/>
  <c r="G161" i="2"/>
  <c r="D85" i="2"/>
  <c r="D91" i="2" s="1"/>
  <c r="F50" i="2"/>
  <c r="F51" i="2" s="1"/>
  <c r="L270" i="1"/>
  <c r="C26" i="10"/>
  <c r="C20" i="10"/>
  <c r="F91" i="2"/>
  <c r="F104" i="2" s="1"/>
  <c r="E122" i="2"/>
  <c r="C10" i="10"/>
  <c r="F662" i="1"/>
  <c r="I662" i="1" s="1"/>
  <c r="C51" i="2" l="1"/>
  <c r="J622" i="1"/>
  <c r="C81" i="2"/>
  <c r="C104" i="2" s="1"/>
  <c r="F193" i="1"/>
  <c r="G627" i="1" s="1"/>
  <c r="J627" i="1" s="1"/>
  <c r="G660" i="1"/>
  <c r="H660" i="1"/>
  <c r="H664" i="1" s="1"/>
  <c r="H667" i="1" s="1"/>
  <c r="L257" i="1"/>
  <c r="L271" i="1" s="1"/>
  <c r="G632" i="1" s="1"/>
  <c r="J632" i="1" s="1"/>
  <c r="F660" i="1"/>
  <c r="F664" i="1" s="1"/>
  <c r="G63" i="2"/>
  <c r="G104" i="2" s="1"/>
  <c r="E115" i="2"/>
  <c r="E128" i="2"/>
  <c r="L408" i="1"/>
  <c r="G637" i="1" s="1"/>
  <c r="J637" i="1" s="1"/>
  <c r="C115" i="2"/>
  <c r="G664" i="1"/>
  <c r="G667" i="1" s="1"/>
  <c r="C128" i="2"/>
  <c r="H648" i="1"/>
  <c r="J648" i="1" s="1"/>
  <c r="H193" i="1"/>
  <c r="G629" i="1" s="1"/>
  <c r="J629" i="1" s="1"/>
  <c r="C144" i="2"/>
  <c r="G646" i="1"/>
  <c r="G631" i="1"/>
  <c r="J631" i="1" s="1"/>
  <c r="C27" i="10"/>
  <c r="G635" i="1"/>
  <c r="J635" i="1" s="1"/>
  <c r="K549" i="1"/>
  <c r="F552" i="1"/>
  <c r="C5" i="13"/>
  <c r="L545" i="1"/>
  <c r="G51" i="2"/>
  <c r="D51" i="2"/>
  <c r="H646" i="1"/>
  <c r="D31" i="13"/>
  <c r="C31" i="13" s="1"/>
  <c r="L338" i="1"/>
  <c r="L352" i="1" s="1"/>
  <c r="G633" i="1" s="1"/>
  <c r="J633" i="1" s="1"/>
  <c r="C36" i="10"/>
  <c r="C41" i="10" s="1"/>
  <c r="C25" i="13"/>
  <c r="H33" i="13"/>
  <c r="C8" i="13"/>
  <c r="E33" i="13"/>
  <c r="D35" i="13" s="1"/>
  <c r="E104" i="2"/>
  <c r="J52" i="1"/>
  <c r="H621" i="1" s="1"/>
  <c r="J621" i="1" s="1"/>
  <c r="G626" i="1"/>
  <c r="J626" i="1" s="1"/>
  <c r="K550" i="1"/>
  <c r="H552" i="1"/>
  <c r="H672" i="1" l="1"/>
  <c r="C6" i="10" s="1"/>
  <c r="I660" i="1"/>
  <c r="I664" i="1" s="1"/>
  <c r="I672" i="1" s="1"/>
  <c r="C7" i="10" s="1"/>
  <c r="C145" i="2"/>
  <c r="E145" i="2"/>
  <c r="G672" i="1"/>
  <c r="C5" i="10" s="1"/>
  <c r="D40" i="10"/>
  <c r="D38" i="10"/>
  <c r="D37" i="10"/>
  <c r="D39" i="10"/>
  <c r="D35" i="10"/>
  <c r="K552" i="1"/>
  <c r="J646" i="1"/>
  <c r="F672" i="1"/>
  <c r="C4" i="10" s="1"/>
  <c r="F667" i="1"/>
  <c r="C28" i="10"/>
  <c r="D27" i="10" s="1"/>
  <c r="H656" i="1"/>
  <c r="D36" i="10"/>
  <c r="D33" i="13"/>
  <c r="D36" i="13" s="1"/>
  <c r="I667" i="1" l="1"/>
  <c r="D25" i="10"/>
  <c r="C30" i="10"/>
  <c r="D19" i="10"/>
  <c r="D22" i="10"/>
  <c r="D11" i="10"/>
  <c r="D17" i="10"/>
  <c r="D23" i="10"/>
  <c r="D21" i="10"/>
  <c r="D13" i="10"/>
  <c r="D15" i="10"/>
  <c r="D26" i="10"/>
  <c r="D12" i="10"/>
  <c r="D16" i="10"/>
  <c r="D20" i="10"/>
  <c r="D18" i="10"/>
  <c r="D24" i="10"/>
  <c r="D10" i="10"/>
  <c r="D41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<sst xmlns="http://schemas.openxmlformats.org/spreadsheetml/2006/main" count="3959" uniqueCount="915">
  <si>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</si>
  <si>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</si>
  <si>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</si>
  <si>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</si>
  <si>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</si>
  <si>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</si>
  <si>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</si>
  <si>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</si>
  <si>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</si>
  <si>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</si>
  <si>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</si>
  <si>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</si>
  <si>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</si>
  <si>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</si>
  <si>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</si>
  <si>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</si>
  <si>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</si>
  <si>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</si>
  <si>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</si>
  <si>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</si>
  <si>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</si>
  <si>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</si>
  <si>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</si>
  <si>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</si>
  <si>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</si>
  <si>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</si>
  <si>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</si>
  <si>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</si>
  <si>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</si>
  <si>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</si>
  <si>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</si>
  <si>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</si>
  <si>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</si>
  <si>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</si>
  <si>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</si>
  <si>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</si>
  <si>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</si>
  <si>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</si>
  <si>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</si>
  <si>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</si>
  <si>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</si>
  <si>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</si>
  <si>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</si>
  <si>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</si>
  <si>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</si>
  <si>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</si>
  <si>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</si>
  <si>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</si>
  <si>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</si>
  <si>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</si>
  <si>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</si>
  <si>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</si>
  <si>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</si>
  <si>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</si>
  <si>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</si>
  <si>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</si>
  <si>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</si>
  <si>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</si>
  <si>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</si>
  <si>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</si>
  <si>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</si>
  <si>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</si>
  <si>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</si>
  <si>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</si>
  <si>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</si>
  <si>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</si>
  <si>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</si>
  <si>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</si>
  <si>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</si>
  <si>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</si>
  <si>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</si>
  <si>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</si>
  <si>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</si>
  <si>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</si>
  <si>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</si>
  <si>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</si>
  <si>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</si>
  <si>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</si>
  <si>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</si>
  <si>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</si>
  <si>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</si>
  <si>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</si>
  <si>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</si>
  <si>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</si>
  <si>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</si>
  <si>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</si>
  <si>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</si>
  <si>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</si>
  <si>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</si>
  <si>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</si>
  <si>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</si>
  <si>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</si>
  <si>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</si>
  <si>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</si>
  <si>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</si>
  <si>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</si>
  <si>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</si>
  <si>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</si>
  <si>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</si>
  <si>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</si>
  <si>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</si>
  <si>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</si>
  <si>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</si>
  <si>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</si>
  <si>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</si>
  <si>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</si>
  <si>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</si>
  <si>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</si>
  <si>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</si>
  <si>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</si>
  <si>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</si>
  <si>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</si>
  <si>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</si>
  <si>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</si>
  <si>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</si>
  <si>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</si>
  <si>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</si>
  <si>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</si>
  <si>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</si>
  <si>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</si>
  <si>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</si>
  <si>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</si>
  <si>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</si>
  <si>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</si>
  <si>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</si>
  <si>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</si>
  <si>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</si>
  <si>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</si>
  <si>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</si>
  <si>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</si>
  <si>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</si>
  <si>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</si>
  <si>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</si>
  <si>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</si>
  <si>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</si>
  <si>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</si>
  <si>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</si>
  <si>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</si>
  <si>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</si>
  <si>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</si>
  <si>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</si>
  <si>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</si>
  <si>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</si>
  <si>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</si>
  <si>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</si>
  <si>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</si>
  <si>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</si>
  <si>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</si>
  <si>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</si>
  <si>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</si>
  <si>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</si>
  <si>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</si>
  <si>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</si>
  <si>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</si>
  <si>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</si>
  <si>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</si>
  <si>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</si>
  <si>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</si>
  <si>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</si>
  <si>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</si>
  <si>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</si>
  <si>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</si>
  <si>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</si>
  <si>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</si>
  <si>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</si>
  <si>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</si>
  <si>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</si>
  <si>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</si>
  <si>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</si>
  <si>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</si>
  <si>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</si>
  <si>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</si>
  <si>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</si>
  <si>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</si>
  <si>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</si>
  <si>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</si>
  <si>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</si>
  <si>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</si>
  <si>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</si>
  <si>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</si>
  <si>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</si>
  <si>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</si>
  <si>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</si>
  <si>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</si>
  <si>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</si>
  <si>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</si>
  <si>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</si>
  <si>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</si>
  <si>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</si>
  <si>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</si>
  <si>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</si>
  <si>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</si>
  <si>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</si>
  <si>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</si>
  <si>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</si>
  <si>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</si>
  <si>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</si>
  <si>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</si>
  <si>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</si>
  <si>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</si>
  <si>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</si>
  <si>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</si>
  <si>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</si>
  <si>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</si>
  <si>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</si>
  <si>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</si>
  <si>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</si>
  <si>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</si>
  <si>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</si>
  <si>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</si>
  <si>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</si>
  <si>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</si>
  <si>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</si>
  <si>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</si>
  <si>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</si>
  <si>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</si>
  <si>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</si>
  <si>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</si>
  <si>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</si>
  <si>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</si>
  <si>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</si>
  <si>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</si>
  <si>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</si>
  <si>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</si>
  <si>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</si>
  <si>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</si>
  <si>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</si>
  <si>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</si>
  <si>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</si>
  <si>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</si>
  <si>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</si>
  <si>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</si>
  <si>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</si>
  <si>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</si>
  <si>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</si>
  <si>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</si>
  <si>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</si>
  <si>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</si>
  <si>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</si>
  <si>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</si>
  <si>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</si>
  <si>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</si>
  <si>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</si>
  <si>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</si>
  <si>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</si>
  <si>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</si>
  <si>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</si>
  <si>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</si>
  <si>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</si>
  <si>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</si>
  <si>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</si>
  <si>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</si>
  <si>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</si>
  <si>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</si>
  <si>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</si>
  <si>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</si>
  <si>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</si>
  <si>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</si>
  <si>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</si>
  <si>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</si>
  <si>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</si>
  <si>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</si>
  <si>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</si>
  <si>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</si>
  <si>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</si>
  <si>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</si>
  <si>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</si>
  <si>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</si>
  <si>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</si>
  <si>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</si>
  <si>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</si>
  <si>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</si>
  <si>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</si>
  <si>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</si>
  <si>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</si>
  <si>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</si>
  <si>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</si>
  <si>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</si>
  <si>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</si>
  <si>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</si>
  <si>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</si>
  <si>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</si>
  <si>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</si>
  <si>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</si>
  <si>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</si>
  <si>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</si>
  <si>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</si>
  <si>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</si>
  <si>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</si>
  <si>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</si>
  <si>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</si>
  <si>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</si>
  <si>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</si>
  <si>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</si>
  <si>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</si>
  <si>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</si>
  <si>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</si>
  <si>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</si>
  <si>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</si>
  <si>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</si>
  <si>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</si>
  <si>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</si>
  <si>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</si>
  <si>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</si>
  <si>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</si>
  <si>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</si>
  <si>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</si>
  <si>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</si>
  <si>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</si>
  <si>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</si>
  <si>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</si>
  <si>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</si>
  <si>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</si>
  <si>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</si>
  <si>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</si>
  <si>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</si>
  <si>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</si>
  <si>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</si>
  <si>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</si>
  <si>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</si>
  <si>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</si>
  <si>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</si>
  <si>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</si>
  <si>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</si>
  <si>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</si>
  <si>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</si>
  <si>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</si>
  <si>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</si>
  <si>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</si>
  <si>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</si>
  <si>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</si>
  <si>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</si>
  <si>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</si>
  <si>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</si>
  <si>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</si>
  <si>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</si>
  <si>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</si>
  <si>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</si>
  <si>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</si>
  <si>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</si>
  <si>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</si>
  <si>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</si>
  <si>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</si>
  <si>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</si>
  <si>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</si>
  <si>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</si>
  <si>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</si>
  <si>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</si>
  <si>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</si>
  <si>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</si>
  <si>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</si>
  <si>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</si>
  <si>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</si>
  <si>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</si>
  <si>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</si>
  <si>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</si>
  <si>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</si>
  <si>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</si>
  <si>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</si>
  <si>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</si>
  <si>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</si>
  <si>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</si>
  <si>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</si>
  <si>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</si>
  <si>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</si>
  <si>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</si>
  <si>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</si>
  <si>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</si>
  <si>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</si>
  <si>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</si>
  <si>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</si>
  <si>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</si>
  <si>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</si>
  <si>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</si>
  <si>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</si>
  <si>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</si>
  <si>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</si>
  <si>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</si>
  <si>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</si>
  <si>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</si>
  <si>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</si>
  <si>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</si>
  <si>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</si>
  <si>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</si>
  <si>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</si>
  <si>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</si>
  <si>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</si>
  <si>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</si>
  <si>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</si>
  <si>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</si>
  <si>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</si>
  <si>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</si>
  <si>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</si>
  <si>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</si>
  <si>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</si>
  <si>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</si>
  <si>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</si>
  <si>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</si>
  <si>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</si>
  <si>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</si>
  <si>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</si>
  <si>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</si>
  <si>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</si>
  <si>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</si>
  <si>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</si>
  <si>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</si>
  <si>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</si>
  <si>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</si>
  <si>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</si>
  <si>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</si>
  <si>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</si>
  <si>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</si>
  <si>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</si>
  <si>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</si>
  <si>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</si>
  <si>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</si>
  <si>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</si>
  <si>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</si>
  <si>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</si>
  <si>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</si>
  <si>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</si>
  <si>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</si>
  <si>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</si>
  <si>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</si>
  <si>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</si>
  <si>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</si>
  <si>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</si>
  <si>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</si>
  <si>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</si>
  <si>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</si>
  <si>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</si>
  <si>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</si>
  <si>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</si>
  <si>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</si>
  <si>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</si>
  <si>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</si>
  <si>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</si>
  <si>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</si>
  <si>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</si>
  <si>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</si>
  <si>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</si>
  <si>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</si>
  <si>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</si>
  <si>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</si>
  <si>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</si>
  <si>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</si>
  <si>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</si>
  <si>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</si>
  <si>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</si>
  <si>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</si>
  <si>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</si>
  <si>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</si>
  <si>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</si>
  <si>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</si>
  <si>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</si>
  <si>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</si>
  <si>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</si>
  <si>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</si>
  <si>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</si>
  <si>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</si>
  <si>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</si>
  <si>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</si>
  <si>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</si>
  <si>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</si>
  <si>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</si>
  <si>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</si>
  <si>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</si>
  <si>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</si>
  <si>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</si>
  <si>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</si>
  <si>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</si>
  <si>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</si>
  <si>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</si>
  <si>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</si>
  <si>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</si>
  <si>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</si>
  <si>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</si>
  <si>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</si>
  <si>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</si>
  <si>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</si>
  <si>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</si>
  <si>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</si>
  <si>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</si>
  <si>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</si>
  <si>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</si>
  <si>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</si>
  <si>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</si>
  <si>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</si>
  <si>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</si>
  <si>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</si>
  <si>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</si>
  <si>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</si>
  <si>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</si>
  <si>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</si>
  <si>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</si>
  <si>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</si>
  <si>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</si>
  <si>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</si>
  <si>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</si>
  <si>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</si>
  <si>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</si>
  <si>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</si>
  <si>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</si>
  <si>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</si>
  <si>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</si>
  <si>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</si>
  <si>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</si>
  <si>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</si>
  <si>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</si>
  <si>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</si>
  <si>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</si>
  <si>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</si>
  <si>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</si>
  <si>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</si>
  <si>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</si>
  <si>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</si>
  <si>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</si>
  <si>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</si>
  <si>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</si>
  <si>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</si>
  <si>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</si>
  <si>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</si>
  <si>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</si>
  <si>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</si>
  <si>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</si>
  <si>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</si>
  <si>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</si>
  <si>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</si>
  <si>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</si>
  <si>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</si>
  <si>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</si>
  <si>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</si>
  <si>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</si>
  <si>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</si>
  <si>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</si>
  <si>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</si>
  <si>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</si>
  <si>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</si>
  <si>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</si>
  <si>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</si>
  <si>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</si>
  <si>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</si>
  <si>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</si>
  <si>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</si>
  <si>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</si>
  <si>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</si>
  <si>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</si>
  <si>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</si>
  <si>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</si>
  <si>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</si>
  <si>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</si>
  <si>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</si>
  <si>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</si>
  <si>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</si>
  <si>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</si>
  <si>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</si>
  <si>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</si>
  <si>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</si>
  <si>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</si>
  <si>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</si>
  <si>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</si>
  <si>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</si>
  <si>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</si>
  <si>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</si>
  <si>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</si>
  <si>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</si>
  <si>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</si>
  <si>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</si>
  <si>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</si>
  <si>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</si>
  <si>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</si>
  <si>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</si>
  <si>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</si>
  <si>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</si>
  <si>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</si>
  <si>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</si>
  <si>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</si>
  <si>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</si>
  <si>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</si>
  <si>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</si>
  <si>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</si>
  <si>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</si>
  <si>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</si>
  <si>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</si>
  <si>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</si>
  <si>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</si>
  <si>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</si>
  <si>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</si>
  <si>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</si>
  <si>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</si>
  <si>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</si>
  <si>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</si>
  <si>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</si>
  <si>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</si>
  <si>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</si>
  <si>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</si>
  <si>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</si>
  <si>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</si>
  <si>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</si>
  <si>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</si>
  <si>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</si>
  <si>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</si>
  <si>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</si>
  <si>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</si>
  <si>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</si>
  <si>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</si>
  <si>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</si>
  <si>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</si>
  <si>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</si>
  <si>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</si>
  <si>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</si>
  <si>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</si>
  <si>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</si>
  <si>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</si>
  <si>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</si>
  <si>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</si>
  <si>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</si>
  <si>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</si>
  <si>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</si>
  <si>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</si>
  <si>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</si>
  <si>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</si>
  <si>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</si>
  <si>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</si>
  <si>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</si>
  <si>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</si>
  <si>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</si>
  <si>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</si>
  <si>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</si>
  <si>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</si>
  <si>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</si>
  <si>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</si>
  <si>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</si>
  <si>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</si>
  <si>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</si>
  <si>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</si>
  <si>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</si>
  <si>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</si>
  <si>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</si>
  <si>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</si>
  <si>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</si>
  <si>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</si>
  <si>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</si>
  <si>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</si>
  <si>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</si>
  <si>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</si>
  <si>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</si>
  <si>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</si>
  <si>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</si>
  <si>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</si>
  <si>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</si>
  <si>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</si>
  <si>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</si>
  <si>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</si>
  <si>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</si>
  <si>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</si>
  <si>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</si>
  <si>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</si>
  <si>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</si>
  <si>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</si>
  <si>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</si>
  <si>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</si>
  <si>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</si>
  <si>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</si>
  <si>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</si>
  <si>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</si>
  <si>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</si>
  <si>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</si>
  <si>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</si>
  <si>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</si>
  <si>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</si>
  <si>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</si>
  <si>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</si>
  <si>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</si>
  <si>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</si>
  <si>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</si>
  <si>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</si>
  <si>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</si>
  <si>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</si>
  <si>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</si>
  <si>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</si>
  <si>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</si>
  <si>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</si>
  <si>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</si>
  <si>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</si>
  <si>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</si>
  <si>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</si>
  <si>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</si>
  <si>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</si>
  <si>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</si>
  <si>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</si>
  <si>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</si>
  <si>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</si>
  <si>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</si>
  <si>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</si>
  <si>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</si>
  <si>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</si>
  <si>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</si>
  <si>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</si>
  <si>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</si>
  <si>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</si>
  <si>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</si>
  <si>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</si>
  <si>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</si>
  <si>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</si>
  <si>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</si>
  <si>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</si>
  <si>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</si>
  <si>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</si>
  <si>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</si>
  <si>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</si>
  <si>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</si>
  <si>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</si>
  <si>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</si>
  <si>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</si>
  <si>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</si>
  <si>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</si>
  <si>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</si>
  <si>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</si>
  <si>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</si>
  <si>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</si>
  <si>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</si>
  <si>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</si>
  <si>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</si>
  <si>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</si>
  <si>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</si>
  <si>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</si>
  <si>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</si>
  <si>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</si>
  <si>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</si>
  <si>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</si>
  <si>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</si>
  <si>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</si>
  <si>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</si>
  <si>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</si>
  <si>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</si>
  <si>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</si>
  <si>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</si>
  <si>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</si>
  <si>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</si>
  <si>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</si>
  <si>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</si>
  <si>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</si>
  <si>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</si>
  <si>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</si>
  <si>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</si>
  <si>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</si>
  <si>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</si>
  <si>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</si>
  <si>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</si>
  <si>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</si>
  <si>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</si>
  <si>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</si>
  <si>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</si>
  <si>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</si>
  <si>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</si>
  <si>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</si>
  <si>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</si>
  <si>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</si>
  <si>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</si>
  <si>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</si>
  <si>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</si>
  <si>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</si>
  <si>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</si>
  <si>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</si>
  <si>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</si>
  <si>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</si>
  <si>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</si>
  <si>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</si>
  <si>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</si>
  <si>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</si>
  <si>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</si>
  <si>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</si>
  <si>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</si>
  <si>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</si>
  <si>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</si>
  <si>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</si>
  <si>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</si>
  <si>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</si>
  <si>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</si>
  <si>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</si>
  <si>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</si>
  <si>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</si>
  <si>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</si>
  <si>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</si>
  <si>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</si>
  <si>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</si>
  <si>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</si>
  <si>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</si>
  <si>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</si>
  <si>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</si>
  <si>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</si>
  <si>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</si>
  <si>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</si>
  <si>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</si>
  <si>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</si>
  <si>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</si>
  <si>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</si>
  <si>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</si>
  <si>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</si>
  <si>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</si>
  <si>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</si>
  <si>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</si>
  <si>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</si>
  <si>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</si>
  <si>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</si>
  <si>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</si>
  <si>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</si>
  <si>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</si>
  <si>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</si>
  <si>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</si>
  <si>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</si>
  <si>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</si>
  <si>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</si>
  <si>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</si>
  <si>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</si>
  <si>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</si>
  <si>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</si>
  <si>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</si>
  <si>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</si>
  <si>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</si>
  <si>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</si>
  <si>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</si>
  <si>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</si>
  <si>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</si>
  <si>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</si>
  <si>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</si>
  <si>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</si>
  <si>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</si>
  <si>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</si>
  <si>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</si>
  <si>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</si>
  <si>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</si>
  <si>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</si>
  <si>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</si>
  <si>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</si>
  <si>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</si>
  <si>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</si>
  <si>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</si>
  <si>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</si>
  <si>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</si>
  <si>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</si>
  <si>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</si>
  <si>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</si>
  <si>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</si>
  <si>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</si>
  <si>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</si>
  <si>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</si>
  <si>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</si>
  <si>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</si>
  <si>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</si>
  <si>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</si>
  <si>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</si>
  <si>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</si>
  <si>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</si>
  <si>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</si>
  <si>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</si>
  <si>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</si>
  <si>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</si>
  <si>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</si>
  <si>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</si>
  <si>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</si>
  <si>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</si>
  <si>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</si>
  <si>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</si>
  <si>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</si>
  <si>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</si>
  <si>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</si>
  <si>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</si>
  <si>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</si>
  <si>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</si>
  <si>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</si>
  <si>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</si>
  <si>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</si>
  <si>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</si>
  <si>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</si>
  <si>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</si>
  <si>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</si>
  <si>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</si>
  <si>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</si>
  <si>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</si>
  <si>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</si>
  <si>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</si>
  <si>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</si>
  <si>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</si>
  <si>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</si>
  <si>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</si>
  <si>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</si>
  <si>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</si>
  <si>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</si>
  <si>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</si>
  <si>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</si>
  <si>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</si>
  <si>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</si>
  <si>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</si>
  <si>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</si>
  <si>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</si>
  <si>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</si>
  <si>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</si>
  <si>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</si>
  <si>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</si>
  <si>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</si>
  <si>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indexed="8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</si>
  <si>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</si>
  <si>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</si>
  <si>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</si>
  <si>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</si>
  <si>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</si>
  <si>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</si>
  <si>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</si>
  <si>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</si>
  <si>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</si>
  <si>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08/16</t>
  </si>
  <si>
    <t>01/30</t>
  </si>
  <si>
    <t>LISBON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</si>
</sst>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  <pageSetUpPr fitToPage="1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>
        <v>306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97704.49</v>
      </c>
      <c r="G9" s="18">
        <v>60.11</v>
      </c>
      <c r="H9" s="18">
        <v>0</v>
      </c>
      <c r="I9" s="18"/>
      <c r="J9" s="67">
        <f>SUM(I439)</f>
        <v>196665.06</v>
      </c>
      <c r="K9" s="24" t="s">
        <v>286</v>
      </c>
      <c r="L9" s="24" t="s">
        <v>286</v>
      </c>
      <c r="M9" s="8"/>
      <c r="N9" s="270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0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0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71351.25-11624.8</f>
        <v>59726.45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0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15755.36</v>
      </c>
      <c r="G13" s="18">
        <v>15271.23</v>
      </c>
      <c r="H13" s="18">
        <v>67147.89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0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13123.22</v>
      </c>
      <c r="G14" s="18">
        <v>337.95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0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0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0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16025</v>
      </c>
      <c r="G17" s="18"/>
      <c r="H17" s="18">
        <v>350</v>
      </c>
      <c r="I17" s="18"/>
      <c r="J17" s="67">
        <f>SUM(I444)</f>
        <v>0</v>
      </c>
      <c r="K17" s="24" t="s">
        <v>286</v>
      </c>
      <c r="L17" s="24" t="s">
        <v>286</v>
      </c>
      <c r="M17" s="8"/>
      <c r="N17" s="270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0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202334.52</v>
      </c>
      <c r="G19" s="41">
        <f>SUM(G9:G18)</f>
        <v>15669.29</v>
      </c>
      <c r="H19" s="41">
        <f>SUM(H9:H18)</f>
        <v>67497.89</v>
      </c>
      <c r="I19" s="41">
        <f>SUM(I9:I18)</f>
        <v>0</v>
      </c>
      <c r="J19" s="41">
        <f>SUM(J9:J18)</f>
        <v>196665.06</v>
      </c>
      <c r="K19" s="45" t="s">
        <v>286</v>
      </c>
      <c r="L19" s="45" t="s">
        <v>286</v>
      </c>
      <c r="M19" s="8"/>
      <c r="N19" s="270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0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13083.41</v>
      </c>
      <c r="H22" s="18">
        <v>58267.839999999997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0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11433.8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0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66090.429999999993</v>
      </c>
      <c r="G24" s="18">
        <v>1105.07</v>
      </c>
      <c r="H24" s="18">
        <v>230.05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0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0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0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0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0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0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0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>
        <v>1480.81</v>
      </c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0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77524.23</v>
      </c>
      <c r="G32" s="41">
        <f>SUM(G22:G31)</f>
        <v>15669.289999999999</v>
      </c>
      <c r="H32" s="41">
        <f>SUM(H22:H31)</f>
        <v>58497.89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0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0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0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0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16025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0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0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0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0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0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0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0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0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0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0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0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0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9000</v>
      </c>
      <c r="I48" s="18"/>
      <c r="J48" s="13">
        <f>SUM(I459)</f>
        <v>196665.06</v>
      </c>
      <c r="K48" s="24" t="s">
        <v>286</v>
      </c>
      <c r="L48" s="24" t="s">
        <v>286</v>
      </c>
      <c r="M48" s="8"/>
      <c r="N48" s="270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116435.09-11624.8-16025</f>
        <v>88785.29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0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124810.29</v>
      </c>
      <c r="G51" s="41">
        <f>SUM(G35:G50)</f>
        <v>0</v>
      </c>
      <c r="H51" s="41">
        <f>SUM(H35:H50)</f>
        <v>9000</v>
      </c>
      <c r="I51" s="41">
        <f>SUM(I35:I50)</f>
        <v>0</v>
      </c>
      <c r="J51" s="41">
        <f>SUM(J35:J50)</f>
        <v>196665.06</v>
      </c>
      <c r="K51" s="45" t="s">
        <v>286</v>
      </c>
      <c r="L51" s="45" t="s">
        <v>286</v>
      </c>
      <c r="N51" s="181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202334.52</v>
      </c>
      <c r="G52" s="41">
        <f>G51+G32</f>
        <v>15669.289999999999</v>
      </c>
      <c r="H52" s="41">
        <f>H51+H32</f>
        <v>67497.89</v>
      </c>
      <c r="I52" s="41">
        <f>I51+I32</f>
        <v>0</v>
      </c>
      <c r="J52" s="41">
        <f>J51+J32</f>
        <v>196665.06</v>
      </c>
      <c r="K52" s="45" t="s">
        <v>286</v>
      </c>
      <c r="L52" s="45" t="s">
        <v>286</v>
      </c>
      <c r="M52" s="8"/>
      <c r="N52" s="270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0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0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0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0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2490540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0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0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1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2490540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1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0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0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0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0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1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0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0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791970.84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0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53610.32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0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0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0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0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0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0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0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0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0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181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845581.15999999992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0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0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0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0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0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0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0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0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0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0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0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0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0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0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0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0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0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974.52</v>
      </c>
      <c r="G96" s="18"/>
      <c r="H96" s="18"/>
      <c r="I96" s="18"/>
      <c r="J96" s="18">
        <v>279.25</v>
      </c>
      <c r="K96" s="24" t="s">
        <v>286</v>
      </c>
      <c r="L96" s="24" t="s">
        <v>286</v>
      </c>
      <c r="M96" s="8"/>
      <c r="N96" s="270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50847.3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0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0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0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0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0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0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7000</v>
      </c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0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0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0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0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0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0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0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15037.87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0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23012.39</v>
      </c>
      <c r="G111" s="41">
        <f>SUM(G96:G110)</f>
        <v>50847.3</v>
      </c>
      <c r="H111" s="41">
        <f>SUM(H96:H110)</f>
        <v>0</v>
      </c>
      <c r="I111" s="41">
        <f>SUM(I96:I110)</f>
        <v>0</v>
      </c>
      <c r="J111" s="41">
        <f>SUM(J96:J110)</f>
        <v>279.25</v>
      </c>
      <c r="K111" s="45" t="s">
        <v>286</v>
      </c>
      <c r="L111" s="45" t="s">
        <v>286</v>
      </c>
      <c r="N111" s="181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3359133.5500000003</v>
      </c>
      <c r="G112" s="41">
        <f>G60+G111</f>
        <v>50847.3</v>
      </c>
      <c r="H112" s="41">
        <f>H60+H79+H94+H111</f>
        <v>0</v>
      </c>
      <c r="I112" s="41">
        <f>I60+I111</f>
        <v>0</v>
      </c>
      <c r="J112" s="41">
        <f>J60+J111</f>
        <v>279.25</v>
      </c>
      <c r="K112" s="45" t="s">
        <v>286</v>
      </c>
      <c r="L112" s="45" t="s">
        <v>286</v>
      </c>
      <c r="M112" s="8"/>
      <c r="N112" s="270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0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0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0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0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1842060.8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0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345074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0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0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3260.88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0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2190395.6799999997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0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0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0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0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0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0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0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f>23476.2-11624.8</f>
        <v>11851.400000000001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0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0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>
        <v>9664.98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0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0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2465.8000000000002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0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5700</v>
      </c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0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0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17551.400000000001</v>
      </c>
      <c r="G136" s="41">
        <f>SUM(G123:G135)</f>
        <v>2465.8000000000002</v>
      </c>
      <c r="H136" s="41">
        <f>SUM(H123:H135)</f>
        <v>9664.98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0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0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0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0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2207947.0799999996</v>
      </c>
      <c r="G140" s="41">
        <f>G121+SUM(G136:G137)</f>
        <v>2465.8000000000002</v>
      </c>
      <c r="H140" s="41">
        <f>H121+SUM(H136:H139)</f>
        <v>9664.98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0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0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0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0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0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>
        <v>6415.42</v>
      </c>
      <c r="I145" s="18"/>
      <c r="J145" s="24" t="s">
        <v>286</v>
      </c>
      <c r="K145" s="24" t="s">
        <v>286</v>
      </c>
      <c r="L145" s="24" t="s">
        <v>286</v>
      </c>
      <c r="M145" s="8"/>
      <c r="N145" s="270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0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6415.42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0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0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0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0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0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0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0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169846.66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0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21118.86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0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0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4829.0200000000004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0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89787.21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0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74782.490000000005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0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62832.83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0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9000</v>
      </c>
      <c r="I161" s="18"/>
      <c r="J161" s="24" t="s">
        <v>286</v>
      </c>
      <c r="K161" s="24" t="s">
        <v>286</v>
      </c>
      <c r="L161" s="24" t="s">
        <v>286</v>
      </c>
      <c r="M161" s="8"/>
      <c r="N161" s="270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62832.83</v>
      </c>
      <c r="G162" s="41">
        <f>SUM(G150:G161)</f>
        <v>89787.21</v>
      </c>
      <c r="H162" s="41">
        <f>SUM(H150:H161)</f>
        <v>279577.03000000003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0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0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0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706.46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0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0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0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0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63539.29</v>
      </c>
      <c r="G169" s="41">
        <f>G147+G162+SUM(G163:G168)</f>
        <v>89787.21</v>
      </c>
      <c r="H169" s="41">
        <f>H147+H162+SUM(H163:H168)</f>
        <v>285992.45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0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0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0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0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0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0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0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0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0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0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4860.88</v>
      </c>
      <c r="H179" s="18"/>
      <c r="I179" s="18"/>
      <c r="J179" s="18">
        <v>50000</v>
      </c>
      <c r="K179" s="24" t="s">
        <v>286</v>
      </c>
      <c r="L179" s="24" t="s">
        <v>286</v>
      </c>
      <c r="M179" s="8"/>
      <c r="N179" s="270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0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0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0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4860.88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0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0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0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0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181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181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0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0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0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4860.88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286</v>
      </c>
      <c r="L192" s="45" t="s">
        <v>286</v>
      </c>
      <c r="M192" s="8"/>
      <c r="N192" s="270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5630619.9199999999</v>
      </c>
      <c r="G193" s="47">
        <f>G112+G140+G169+G192</f>
        <v>147961.19</v>
      </c>
      <c r="H193" s="47">
        <f>H112+H140+H169+H192</f>
        <v>295657.43</v>
      </c>
      <c r="I193" s="47">
        <f>I112+I140+I169+I192</f>
        <v>0</v>
      </c>
      <c r="J193" s="47">
        <f>J112+J140+J192</f>
        <v>50279.25</v>
      </c>
      <c r="K193" s="45" t="s">
        <v>286</v>
      </c>
      <c r="L193" s="45" t="s">
        <v>286</v>
      </c>
      <c r="M193" s="8"/>
      <c r="N193" s="270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0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0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756298.17</v>
      </c>
      <c r="G197" s="18">
        <v>347156.47999999998</v>
      </c>
      <c r="H197" s="18">
        <v>680</v>
      </c>
      <c r="I197" s="18">
        <v>10147</v>
      </c>
      <c r="J197" s="18">
        <v>4232.3999999999996</v>
      </c>
      <c r="K197" s="18"/>
      <c r="L197" s="19">
        <f>SUM(F197:K197)</f>
        <v>1118514.0499999998</v>
      </c>
      <c r="M197" s="8"/>
      <c r="N197" s="270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202738.56</v>
      </c>
      <c r="G198" s="18">
        <v>107451.68</v>
      </c>
      <c r="H198" s="18">
        <v>81908.98</v>
      </c>
      <c r="I198" s="18">
        <v>27.2</v>
      </c>
      <c r="J198" s="18"/>
      <c r="K198" s="18"/>
      <c r="L198" s="19">
        <f>SUM(F198:K198)</f>
        <v>392126.42</v>
      </c>
      <c r="M198" s="8"/>
      <c r="N198" s="270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3195.5</v>
      </c>
      <c r="G200" s="18">
        <v>722.65</v>
      </c>
      <c r="H200" s="18"/>
      <c r="I200" s="18"/>
      <c r="J200" s="18"/>
      <c r="K200" s="18"/>
      <c r="L200" s="19">
        <f>SUM(F200:K200)</f>
        <v>3918.15</v>
      </c>
      <c r="M200" s="8"/>
      <c r="N200" s="270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0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48146</v>
      </c>
      <c r="G202" s="18">
        <v>32966.519999999997</v>
      </c>
      <c r="H202" s="18">
        <v>108097.8</v>
      </c>
      <c r="I202" s="18">
        <v>766.92</v>
      </c>
      <c r="J202" s="18"/>
      <c r="K202" s="18"/>
      <c r="L202" s="19">
        <f t="shared" ref="L202:L208" si="0">SUM(F202:K202)</f>
        <v>189977.24000000002</v>
      </c>
      <c r="M202" s="8"/>
      <c r="N202" s="270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29231.5</v>
      </c>
      <c r="G203" s="18">
        <v>18018.13</v>
      </c>
      <c r="H203" s="18">
        <v>1954.06</v>
      </c>
      <c r="I203" s="18">
        <v>1345.84</v>
      </c>
      <c r="J203" s="18"/>
      <c r="K203" s="18">
        <v>1373.76</v>
      </c>
      <c r="L203" s="19">
        <f t="shared" si="0"/>
        <v>51923.29</v>
      </c>
      <c r="M203" s="8"/>
      <c r="N203" s="270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4287.5</v>
      </c>
      <c r="G204" s="18">
        <v>349.98</v>
      </c>
      <c r="H204" s="18">
        <v>86149.52</v>
      </c>
      <c r="I204" s="18"/>
      <c r="J204" s="18"/>
      <c r="K204" s="18">
        <v>7145.4</v>
      </c>
      <c r="L204" s="19">
        <f t="shared" si="0"/>
        <v>97932.4</v>
      </c>
      <c r="M204" s="8"/>
      <c r="N204" s="270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63885.47</v>
      </c>
      <c r="G205" s="18">
        <v>22623.8</v>
      </c>
      <c r="H205" s="18">
        <v>12918.59</v>
      </c>
      <c r="I205" s="18">
        <v>6100.74</v>
      </c>
      <c r="J205" s="18">
        <v>264.66000000000003</v>
      </c>
      <c r="K205" s="18">
        <v>1503.07</v>
      </c>
      <c r="L205" s="19">
        <f t="shared" si="0"/>
        <v>107296.33000000002</v>
      </c>
      <c r="M205" s="8"/>
      <c r="N205" s="270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40642.51</v>
      </c>
      <c r="G207" s="18">
        <v>14671.08</v>
      </c>
      <c r="H207" s="18">
        <v>21636.37</v>
      </c>
      <c r="I207" s="18">
        <v>45437.85</v>
      </c>
      <c r="J207" s="18">
        <v>19084.12</v>
      </c>
      <c r="K207" s="18">
        <v>99.46</v>
      </c>
      <c r="L207" s="19">
        <f t="shared" si="0"/>
        <v>141571.38999999998</v>
      </c>
      <c r="M207" s="8"/>
      <c r="N207" s="270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3286.5</v>
      </c>
      <c r="G208" s="18">
        <v>607.53</v>
      </c>
      <c r="H208" s="18">
        <v>67737.61</v>
      </c>
      <c r="I208" s="18">
        <v>478.5</v>
      </c>
      <c r="J208" s="18"/>
      <c r="K208" s="18"/>
      <c r="L208" s="19">
        <f t="shared" si="0"/>
        <v>72110.14</v>
      </c>
      <c r="M208" s="8"/>
      <c r="N208" s="270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20548.55</v>
      </c>
      <c r="G209" s="18">
        <v>6783.11</v>
      </c>
      <c r="H209" s="18">
        <v>5935.43</v>
      </c>
      <c r="I209" s="18">
        <v>4612.0600000000004</v>
      </c>
      <c r="J209" s="18">
        <v>10242.02</v>
      </c>
      <c r="K209" s="18"/>
      <c r="L209" s="19">
        <f>SUM(F209:K209)</f>
        <v>48121.17</v>
      </c>
      <c r="M209" s="8"/>
      <c r="N209" s="270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0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1172260.26</v>
      </c>
      <c r="G211" s="41">
        <f t="shared" si="1"/>
        <v>551350.96</v>
      </c>
      <c r="H211" s="41">
        <f t="shared" si="1"/>
        <v>387018.36</v>
      </c>
      <c r="I211" s="41">
        <f t="shared" si="1"/>
        <v>68916.11</v>
      </c>
      <c r="J211" s="41">
        <f t="shared" si="1"/>
        <v>33823.199999999997</v>
      </c>
      <c r="K211" s="41">
        <f t="shared" si="1"/>
        <v>10121.689999999999</v>
      </c>
      <c r="L211" s="41">
        <f t="shared" si="1"/>
        <v>2223490.5799999996</v>
      </c>
      <c r="M211" s="8"/>
      <c r="N211" s="270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0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0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391208.39</v>
      </c>
      <c r="G215" s="18">
        <v>185071.2</v>
      </c>
      <c r="H215" s="18">
        <v>1087.03</v>
      </c>
      <c r="I215" s="18">
        <v>5181.24</v>
      </c>
      <c r="J215" s="18">
        <v>1141.3599999999999</v>
      </c>
      <c r="K215" s="18"/>
      <c r="L215" s="19">
        <f>SUM(F215:K215)</f>
        <v>583689.22000000009</v>
      </c>
      <c r="M215" s="8"/>
      <c r="N215" s="270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183618.35</v>
      </c>
      <c r="G216" s="18">
        <v>86023.54</v>
      </c>
      <c r="H216" s="18">
        <v>1025</v>
      </c>
      <c r="I216" s="18">
        <v>17.09</v>
      </c>
      <c r="J216" s="18"/>
      <c r="K216" s="18"/>
      <c r="L216" s="19">
        <f>SUM(F216:K216)</f>
        <v>270683.98000000004</v>
      </c>
      <c r="M216" s="8"/>
      <c r="N216" s="270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23250.75</v>
      </c>
      <c r="G217" s="18">
        <v>12190.85</v>
      </c>
      <c r="H217" s="18"/>
      <c r="I217" s="18">
        <v>1316.83</v>
      </c>
      <c r="J217" s="18">
        <v>971.17</v>
      </c>
      <c r="K217" s="18"/>
      <c r="L217" s="19">
        <f>SUM(F217:K217)</f>
        <v>37729.599999999999</v>
      </c>
      <c r="M217" s="8"/>
      <c r="N217" s="270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19722.099999999999</v>
      </c>
      <c r="G218" s="18">
        <v>3843.47</v>
      </c>
      <c r="H218" s="18">
        <v>6790</v>
      </c>
      <c r="I218" s="18">
        <v>2623</v>
      </c>
      <c r="J218" s="18">
        <v>1657.36</v>
      </c>
      <c r="K218" s="18">
        <v>1387.5</v>
      </c>
      <c r="L218" s="19">
        <f>SUM(F218:K218)</f>
        <v>36023.43</v>
      </c>
      <c r="M218" s="8"/>
      <c r="N218" s="270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0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25989.83</v>
      </c>
      <c r="G220" s="18">
        <v>5315.06</v>
      </c>
      <c r="H220" s="18">
        <v>32824.620000000003</v>
      </c>
      <c r="I220" s="18">
        <v>390.7</v>
      </c>
      <c r="J220" s="18">
        <v>62.35</v>
      </c>
      <c r="K220" s="18"/>
      <c r="L220" s="19">
        <f t="shared" ref="L220:L226" si="2">SUM(F220:K220)</f>
        <v>64582.560000000005</v>
      </c>
      <c r="M220" s="8"/>
      <c r="N220" s="270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17538.82</v>
      </c>
      <c r="G221" s="18">
        <v>10810.23</v>
      </c>
      <c r="H221" s="18">
        <v>998.76</v>
      </c>
      <c r="I221" s="18">
        <v>735.25</v>
      </c>
      <c r="J221" s="18"/>
      <c r="K221" s="18">
        <v>2105.2399999999998</v>
      </c>
      <c r="L221" s="19">
        <f t="shared" si="2"/>
        <v>32188.299999999996</v>
      </c>
      <c r="M221" s="8"/>
      <c r="N221" s="270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2695</v>
      </c>
      <c r="G222" s="18">
        <v>219.99</v>
      </c>
      <c r="H222" s="18">
        <v>53513.75</v>
      </c>
      <c r="I222" s="18"/>
      <c r="J222" s="18"/>
      <c r="K222" s="18">
        <v>3224.32</v>
      </c>
      <c r="L222" s="19">
        <f t="shared" si="2"/>
        <v>59653.06</v>
      </c>
      <c r="M222" s="8"/>
      <c r="N222" s="270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46982.39</v>
      </c>
      <c r="G223" s="18">
        <v>16560.25</v>
      </c>
      <c r="H223" s="18">
        <v>6768.21</v>
      </c>
      <c r="I223" s="18">
        <v>3471.85</v>
      </c>
      <c r="J223" s="18">
        <v>144.34</v>
      </c>
      <c r="K223" s="18">
        <v>1416.29</v>
      </c>
      <c r="L223" s="19">
        <f t="shared" si="2"/>
        <v>75343.33</v>
      </c>
      <c r="M223" s="8"/>
      <c r="N223" s="270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25004.2</v>
      </c>
      <c r="G225" s="18">
        <v>9129.52</v>
      </c>
      <c r="H225" s="18">
        <v>20421.68</v>
      </c>
      <c r="I225" s="18">
        <v>27682.6</v>
      </c>
      <c r="J225" s="18">
        <v>7936.79</v>
      </c>
      <c r="K225" s="18"/>
      <c r="L225" s="19">
        <f t="shared" si="2"/>
        <v>90174.79</v>
      </c>
      <c r="M225" s="8"/>
      <c r="N225" s="270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2065.8000000000002</v>
      </c>
      <c r="G226" s="18">
        <v>381.87</v>
      </c>
      <c r="H226" s="18">
        <v>33839.730000000003</v>
      </c>
      <c r="I226" s="18">
        <v>260.99</v>
      </c>
      <c r="J226" s="18"/>
      <c r="K226" s="18"/>
      <c r="L226" s="19">
        <f t="shared" si="2"/>
        <v>36548.39</v>
      </c>
      <c r="M226" s="8"/>
      <c r="N226" s="270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12916.26</v>
      </c>
      <c r="G227" s="18">
        <v>4262.6899999999996</v>
      </c>
      <c r="H227" s="18">
        <v>3013.73</v>
      </c>
      <c r="I227" s="18">
        <v>2469.58</v>
      </c>
      <c r="J227" s="18">
        <v>3657.53</v>
      </c>
      <c r="K227" s="18"/>
      <c r="L227" s="19">
        <f>SUM(F227:K227)</f>
        <v>26319.79</v>
      </c>
      <c r="M227" s="8"/>
      <c r="N227" s="270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0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750991.8899999999</v>
      </c>
      <c r="G229" s="41">
        <f>SUM(G215:G228)</f>
        <v>333808.66999999993</v>
      </c>
      <c r="H229" s="41">
        <f>SUM(H215:H228)</f>
        <v>160282.51000000004</v>
      </c>
      <c r="I229" s="41">
        <f>SUM(I215:I228)</f>
        <v>44149.13</v>
      </c>
      <c r="J229" s="41">
        <f>SUM(J215:J228)</f>
        <v>15570.9</v>
      </c>
      <c r="K229" s="41">
        <f t="shared" si="3"/>
        <v>8133.3499999999995</v>
      </c>
      <c r="L229" s="41">
        <f t="shared" si="3"/>
        <v>1312936.4500000004</v>
      </c>
      <c r="M229" s="8"/>
      <c r="N229" s="270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0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0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559905.74</v>
      </c>
      <c r="G233" s="18">
        <v>241225.60000000001</v>
      </c>
      <c r="H233" s="18">
        <v>1529.99</v>
      </c>
      <c r="I233" s="18">
        <v>32132.01</v>
      </c>
      <c r="J233" s="18">
        <v>2236.29</v>
      </c>
      <c r="K233" s="18"/>
      <c r="L233" s="19">
        <f>SUM(F233:K233)</f>
        <v>837029.63</v>
      </c>
      <c r="M233" s="8"/>
      <c r="N233" s="270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95290.62</v>
      </c>
      <c r="G234" s="18">
        <v>44972.84</v>
      </c>
      <c r="H234" s="18">
        <v>33.409999999999997</v>
      </c>
      <c r="I234" s="18"/>
      <c r="J234" s="18"/>
      <c r="K234" s="18"/>
      <c r="L234" s="19">
        <f>SUM(F234:K234)</f>
        <v>140296.87</v>
      </c>
      <c r="M234" s="8"/>
      <c r="N234" s="270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114400.75</v>
      </c>
      <c r="G235" s="18">
        <v>52823.56</v>
      </c>
      <c r="H235" s="18">
        <v>52475.32</v>
      </c>
      <c r="I235" s="18">
        <v>1893.36</v>
      </c>
      <c r="J235" s="18">
        <v>693.97</v>
      </c>
      <c r="K235" s="18"/>
      <c r="L235" s="19">
        <f>SUM(F235:K235)</f>
        <v>222286.96</v>
      </c>
      <c r="M235" s="8"/>
      <c r="N235" s="270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46043.4</v>
      </c>
      <c r="G236" s="18">
        <v>9423.08</v>
      </c>
      <c r="H236" s="18">
        <v>13250</v>
      </c>
      <c r="I236" s="18">
        <v>3477</v>
      </c>
      <c r="J236" s="18">
        <v>8564.2800000000007</v>
      </c>
      <c r="K236" s="18">
        <v>1407.5</v>
      </c>
      <c r="L236" s="19">
        <f>SUM(F236:K236)</f>
        <v>82165.260000000009</v>
      </c>
      <c r="M236" s="8"/>
      <c r="N236" s="270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0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49544.91</v>
      </c>
      <c r="G238" s="18">
        <v>4894.0600000000004</v>
      </c>
      <c r="H238" s="18">
        <v>49141.59</v>
      </c>
      <c r="I238" s="18">
        <v>487.18</v>
      </c>
      <c r="J238" s="18">
        <v>82.65</v>
      </c>
      <c r="K238" s="18"/>
      <c r="L238" s="19">
        <f t="shared" ref="L238:L244" si="4">SUM(F238:K238)</f>
        <v>104150.38999999998</v>
      </c>
      <c r="M238" s="8"/>
      <c r="N238" s="270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11692.68</v>
      </c>
      <c r="G239" s="18">
        <v>7206.78</v>
      </c>
      <c r="H239" s="18">
        <v>1331.68</v>
      </c>
      <c r="I239" s="18">
        <v>980.39</v>
      </c>
      <c r="J239" s="18"/>
      <c r="K239" s="18">
        <v>5003.6000000000004</v>
      </c>
      <c r="L239" s="19">
        <f t="shared" si="4"/>
        <v>26215.129999999997</v>
      </c>
      <c r="M239" s="8"/>
      <c r="N239" s="270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5267.5</v>
      </c>
      <c r="G240" s="18">
        <v>430</v>
      </c>
      <c r="H240" s="18">
        <v>102204.85</v>
      </c>
      <c r="I240" s="18"/>
      <c r="J240" s="18"/>
      <c r="K240" s="18">
        <v>6282.18</v>
      </c>
      <c r="L240" s="19">
        <f t="shared" si="4"/>
        <v>114184.53</v>
      </c>
      <c r="M240" s="8"/>
      <c r="N240" s="270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89336.76</v>
      </c>
      <c r="G241" s="18">
        <v>31963.54</v>
      </c>
      <c r="H241" s="18">
        <v>9589.7999999999993</v>
      </c>
      <c r="I241" s="18">
        <v>4267.72</v>
      </c>
      <c r="J241" s="18">
        <v>213.9</v>
      </c>
      <c r="K241" s="18">
        <v>3801.13</v>
      </c>
      <c r="L241" s="19">
        <f t="shared" si="4"/>
        <v>139172.84999999998</v>
      </c>
      <c r="M241" s="8"/>
      <c r="N241" s="270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53491.45</v>
      </c>
      <c r="G243" s="18">
        <v>18237.75</v>
      </c>
      <c r="H243" s="18">
        <v>32527.13</v>
      </c>
      <c r="I243" s="18">
        <v>44373.43</v>
      </c>
      <c r="J243" s="18">
        <v>11715.72</v>
      </c>
      <c r="K243" s="18"/>
      <c r="L243" s="19">
        <f t="shared" si="4"/>
        <v>160345.48000000001</v>
      </c>
      <c r="M243" s="8"/>
      <c r="N243" s="270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4037.7</v>
      </c>
      <c r="G244" s="18">
        <v>746.39</v>
      </c>
      <c r="H244" s="18">
        <v>104293.17</v>
      </c>
      <c r="I244" s="18">
        <v>348</v>
      </c>
      <c r="J244" s="18"/>
      <c r="K244" s="18"/>
      <c r="L244" s="19">
        <f t="shared" si="4"/>
        <v>109425.26</v>
      </c>
      <c r="M244" s="8"/>
      <c r="N244" s="270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25245.19</v>
      </c>
      <c r="G245" s="18">
        <v>8332.4500000000007</v>
      </c>
      <c r="H245" s="18">
        <v>4575.95</v>
      </c>
      <c r="I245" s="18">
        <v>3292.83</v>
      </c>
      <c r="J245" s="18">
        <v>23658.3</v>
      </c>
      <c r="K245" s="18"/>
      <c r="L245" s="19">
        <f>SUM(F245:K245)</f>
        <v>65104.72</v>
      </c>
      <c r="M245" s="8"/>
      <c r="N245" s="270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0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1054256.7</v>
      </c>
      <c r="G247" s="41">
        <f t="shared" si="5"/>
        <v>420256.05000000005</v>
      </c>
      <c r="H247" s="41">
        <f t="shared" si="5"/>
        <v>370952.89</v>
      </c>
      <c r="I247" s="41">
        <f t="shared" si="5"/>
        <v>91251.92</v>
      </c>
      <c r="J247" s="41">
        <f t="shared" si="5"/>
        <v>47165.11</v>
      </c>
      <c r="K247" s="41">
        <f t="shared" si="5"/>
        <v>16494.41</v>
      </c>
      <c r="L247" s="41">
        <f t="shared" si="5"/>
        <v>2000377.0799999996</v>
      </c>
      <c r="M247" s="8"/>
      <c r="N247" s="270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0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2977508.8499999996</v>
      </c>
      <c r="G257" s="41">
        <f t="shared" si="8"/>
        <v>1305415.6799999999</v>
      </c>
      <c r="H257" s="41">
        <f t="shared" si="8"/>
        <v>918253.76</v>
      </c>
      <c r="I257" s="41">
        <f t="shared" si="8"/>
        <v>204317.15999999997</v>
      </c>
      <c r="J257" s="41">
        <f t="shared" si="8"/>
        <v>96559.209999999992</v>
      </c>
      <c r="K257" s="41">
        <f t="shared" si="8"/>
        <v>34749.449999999997</v>
      </c>
      <c r="L257" s="41">
        <f t="shared" si="8"/>
        <v>5536804.1099999994</v>
      </c>
      <c r="M257" s="8"/>
      <c r="N257" s="270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0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0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22110.3</v>
      </c>
      <c r="L260" s="19">
        <f>SUM(F260:K260)</f>
        <v>22110.3</v>
      </c>
      <c r="M260" s="8"/>
      <c r="N260" s="270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11794.5</v>
      </c>
      <c r="L261" s="19">
        <f>SUM(F261:K261)</f>
        <v>11794.5</v>
      </c>
      <c r="N261" s="181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181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4860.88</v>
      </c>
      <c r="L263" s="19">
        <f>SUM(F263:K263)</f>
        <v>4860.88</v>
      </c>
      <c r="N263" s="181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181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181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181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181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8309.01</v>
      </c>
      <c r="L268" s="19">
        <f t="shared" si="9"/>
        <v>8309.01</v>
      </c>
      <c r="N268" s="181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181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97074.689999999988</v>
      </c>
      <c r="L270" s="41">
        <f t="shared" si="9"/>
        <v>97074.689999999988</v>
      </c>
      <c r="N270" s="181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2977508.8499999996</v>
      </c>
      <c r="G271" s="42">
        <f t="shared" si="11"/>
        <v>1305415.6799999999</v>
      </c>
      <c r="H271" s="42">
        <f t="shared" si="11"/>
        <v>918253.76</v>
      </c>
      <c r="I271" s="42">
        <f t="shared" si="11"/>
        <v>204317.15999999997</v>
      </c>
      <c r="J271" s="42">
        <f t="shared" si="11"/>
        <v>96559.209999999992</v>
      </c>
      <c r="K271" s="42">
        <f t="shared" si="11"/>
        <v>131824.13999999998</v>
      </c>
      <c r="L271" s="42">
        <f t="shared" si="11"/>
        <v>5633878.7999999998</v>
      </c>
      <c r="M271" s="8"/>
      <c r="N271" s="270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0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0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21975</v>
      </c>
      <c r="G276" s="18">
        <v>374.54</v>
      </c>
      <c r="H276" s="18"/>
      <c r="I276" s="18"/>
      <c r="J276" s="18">
        <v>979</v>
      </c>
      <c r="K276" s="18"/>
      <c r="L276" s="19">
        <f>SUM(F276:K276)</f>
        <v>23328.54</v>
      </c>
      <c r="M276" s="8"/>
      <c r="N276" s="270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23880.04</v>
      </c>
      <c r="G277" s="18">
        <v>7489.36</v>
      </c>
      <c r="H277" s="18">
        <v>22710.79</v>
      </c>
      <c r="I277" s="18">
        <v>2152.9</v>
      </c>
      <c r="J277" s="18">
        <v>439.71</v>
      </c>
      <c r="K277" s="18"/>
      <c r="L277" s="19">
        <f>SUM(F277:K277)</f>
        <v>56672.800000000003</v>
      </c>
      <c r="M277" s="8"/>
      <c r="N277" s="270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0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1750</v>
      </c>
      <c r="I281" s="18"/>
      <c r="J281" s="18"/>
      <c r="K281" s="18"/>
      <c r="L281" s="19">
        <f t="shared" ref="L281:L287" si="12">SUM(F281:K281)</f>
        <v>1750</v>
      </c>
      <c r="M281" s="8"/>
      <c r="N281" s="270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955.24</v>
      </c>
      <c r="I282" s="18"/>
      <c r="J282" s="18"/>
      <c r="K282" s="18"/>
      <c r="L282" s="19">
        <f t="shared" si="12"/>
        <v>955.24</v>
      </c>
      <c r="M282" s="8"/>
      <c r="N282" s="270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378.45</v>
      </c>
      <c r="L283" s="19">
        <f t="shared" si="12"/>
        <v>378.45</v>
      </c>
      <c r="M283" s="8"/>
      <c r="N283" s="270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0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45855.040000000001</v>
      </c>
      <c r="G290" s="42">
        <f t="shared" si="13"/>
        <v>7863.9</v>
      </c>
      <c r="H290" s="42">
        <f t="shared" si="13"/>
        <v>25416.030000000002</v>
      </c>
      <c r="I290" s="42">
        <f t="shared" si="13"/>
        <v>2152.9</v>
      </c>
      <c r="J290" s="42">
        <f t="shared" si="13"/>
        <v>1418.71</v>
      </c>
      <c r="K290" s="42">
        <f t="shared" si="13"/>
        <v>378.45</v>
      </c>
      <c r="L290" s="41">
        <f t="shared" si="13"/>
        <v>83085.03</v>
      </c>
      <c r="M290" s="8"/>
      <c r="N290" s="270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0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0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750</v>
      </c>
      <c r="G295" s="18"/>
      <c r="H295" s="18"/>
      <c r="I295" s="18"/>
      <c r="J295" s="18">
        <v>1500</v>
      </c>
      <c r="K295" s="18"/>
      <c r="L295" s="19">
        <f>SUM(F295:K295)</f>
        <v>2250</v>
      </c>
      <c r="M295" s="8"/>
      <c r="N295" s="270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680.41</v>
      </c>
      <c r="G296" s="18">
        <v>96.49</v>
      </c>
      <c r="H296" s="18">
        <v>2807.29</v>
      </c>
      <c r="I296" s="18">
        <v>1353.25</v>
      </c>
      <c r="J296" s="18">
        <v>276.39</v>
      </c>
      <c r="K296" s="18">
        <v>196.65</v>
      </c>
      <c r="L296" s="19">
        <f>SUM(F296:K296)</f>
        <v>5410.4800000000005</v>
      </c>
      <c r="M296" s="8"/>
      <c r="N296" s="270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0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0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1430.4099999999999</v>
      </c>
      <c r="G309" s="42">
        <f t="shared" si="15"/>
        <v>96.49</v>
      </c>
      <c r="H309" s="42">
        <f t="shared" si="15"/>
        <v>2807.29</v>
      </c>
      <c r="I309" s="42">
        <f t="shared" si="15"/>
        <v>1353.25</v>
      </c>
      <c r="J309" s="42">
        <f t="shared" si="15"/>
        <v>1776.3899999999999</v>
      </c>
      <c r="K309" s="42">
        <f t="shared" si="15"/>
        <v>196.65</v>
      </c>
      <c r="L309" s="41">
        <f t="shared" si="15"/>
        <v>7660.4800000000005</v>
      </c>
      <c r="N309" s="181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0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0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f>113938-20225</f>
        <v>93713</v>
      </c>
      <c r="G314" s="18">
        <v>70340.62</v>
      </c>
      <c r="H314" s="18"/>
      <c r="I314" s="18"/>
      <c r="J314" s="18">
        <v>4995.9799999999996</v>
      </c>
      <c r="K314" s="18"/>
      <c r="L314" s="19">
        <f>SUM(F314:K314)</f>
        <v>169049.60000000001</v>
      </c>
      <c r="M314" s="8"/>
      <c r="N314" s="270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1329.89</v>
      </c>
      <c r="G315" s="18">
        <v>188.59</v>
      </c>
      <c r="H315" s="18">
        <v>3336.95</v>
      </c>
      <c r="I315" s="18">
        <v>2644.99</v>
      </c>
      <c r="J315" s="18">
        <v>540.20000000000005</v>
      </c>
      <c r="K315" s="18"/>
      <c r="L315" s="19">
        <f>SUM(F315:K315)</f>
        <v>8040.62</v>
      </c>
      <c r="M315" s="8"/>
      <c r="N315" s="270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0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v>2150</v>
      </c>
      <c r="I319" s="18"/>
      <c r="J319" s="18"/>
      <c r="K319" s="18"/>
      <c r="L319" s="19">
        <f t="shared" ref="L319:L325" si="16">SUM(F319:K319)</f>
        <v>2150</v>
      </c>
      <c r="M319" s="8"/>
      <c r="N319" s="270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>
        <v>6415.42</v>
      </c>
      <c r="I320" s="18"/>
      <c r="J320" s="18"/>
      <c r="K320" s="18"/>
      <c r="L320" s="19">
        <f t="shared" si="16"/>
        <v>6415.42</v>
      </c>
      <c r="M320" s="8"/>
      <c r="N320" s="270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>
        <v>5427.26</v>
      </c>
      <c r="L321" s="19">
        <f t="shared" si="16"/>
        <v>5427.26</v>
      </c>
      <c r="M321" s="8"/>
      <c r="N321" s="270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0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95042.89</v>
      </c>
      <c r="G328" s="42">
        <f t="shared" si="17"/>
        <v>70529.209999999992</v>
      </c>
      <c r="H328" s="42">
        <f t="shared" si="17"/>
        <v>11902.369999999999</v>
      </c>
      <c r="I328" s="42">
        <f t="shared" si="17"/>
        <v>2644.99</v>
      </c>
      <c r="J328" s="42">
        <f t="shared" si="17"/>
        <v>5536.1799999999994</v>
      </c>
      <c r="K328" s="42">
        <f t="shared" si="17"/>
        <v>5427.26</v>
      </c>
      <c r="L328" s="41">
        <f t="shared" si="17"/>
        <v>191082.90000000002</v>
      </c>
      <c r="M328" s="8"/>
      <c r="N328" s="270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0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3735.92</v>
      </c>
      <c r="G333" s="18">
        <v>934.33</v>
      </c>
      <c r="H333" s="18"/>
      <c r="I333" s="18"/>
      <c r="J333" s="18"/>
      <c r="K333" s="18">
        <v>158.77000000000001</v>
      </c>
      <c r="L333" s="19">
        <f t="shared" si="18"/>
        <v>4829.0200000000004</v>
      </c>
      <c r="M333" s="8"/>
      <c r="N333" s="270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3735.92</v>
      </c>
      <c r="G337" s="41">
        <f t="shared" si="19"/>
        <v>934.33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158.77000000000001</v>
      </c>
      <c r="L337" s="41">
        <f t="shared" si="18"/>
        <v>4829.0200000000004</v>
      </c>
      <c r="M337" s="8"/>
      <c r="N337" s="270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146064.26</v>
      </c>
      <c r="G338" s="41">
        <f t="shared" si="20"/>
        <v>79423.929999999993</v>
      </c>
      <c r="H338" s="41">
        <f t="shared" si="20"/>
        <v>40125.69</v>
      </c>
      <c r="I338" s="41">
        <f t="shared" si="20"/>
        <v>6151.1399999999994</v>
      </c>
      <c r="J338" s="41">
        <f t="shared" si="20"/>
        <v>8731.2799999999988</v>
      </c>
      <c r="K338" s="41">
        <f t="shared" si="20"/>
        <v>6161.130000000001</v>
      </c>
      <c r="L338" s="41">
        <f t="shared" si="20"/>
        <v>286657.43000000005</v>
      </c>
      <c r="M338" s="8"/>
      <c r="N338" s="270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0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0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0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0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0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0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0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0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0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146064.26</v>
      </c>
      <c r="G352" s="41">
        <f>G338</f>
        <v>79423.929999999993</v>
      </c>
      <c r="H352" s="41">
        <f>H338</f>
        <v>40125.69</v>
      </c>
      <c r="I352" s="41">
        <f>I338</f>
        <v>6151.1399999999994</v>
      </c>
      <c r="J352" s="41">
        <f>J338</f>
        <v>8731.2799999999988</v>
      </c>
      <c r="K352" s="47">
        <f>K338+K351</f>
        <v>6161.130000000001</v>
      </c>
      <c r="L352" s="41">
        <f>L338+L351</f>
        <v>286657.43000000005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0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0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0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48827.199999999997</v>
      </c>
      <c r="I358" s="18"/>
      <c r="J358" s="18"/>
      <c r="K358" s="18"/>
      <c r="L358" s="13">
        <f>SUM(F358:K358)</f>
        <v>48827.199999999997</v>
      </c>
      <c r="N358" s="181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32551.46</v>
      </c>
      <c r="I359" s="18"/>
      <c r="J359" s="18"/>
      <c r="K359" s="18"/>
      <c r="L359" s="19">
        <f>SUM(F359:K359)</f>
        <v>32551.46</v>
      </c>
      <c r="M359" s="8"/>
      <c r="N359" s="270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66582.53</v>
      </c>
      <c r="I360" s="18"/>
      <c r="J360" s="18"/>
      <c r="K360" s="18"/>
      <c r="L360" s="19">
        <f>SUM(F360:K360)</f>
        <v>66582.53</v>
      </c>
      <c r="M360" s="8"/>
      <c r="N360" s="270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0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147961.19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147961.19</v>
      </c>
      <c r="M362" s="8"/>
      <c r="N362" s="270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0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0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0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0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0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0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0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0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0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0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0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0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0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0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0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25000</v>
      </c>
      <c r="H392" s="18">
        <v>136.31</v>
      </c>
      <c r="I392" s="18"/>
      <c r="J392" s="24" t="s">
        <v>286</v>
      </c>
      <c r="K392" s="24" t="s">
        <v>286</v>
      </c>
      <c r="L392" s="56">
        <f t="shared" si="25"/>
        <v>25136.31</v>
      </c>
      <c r="M392" s="8"/>
      <c r="N392" s="270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136.31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25136.31</v>
      </c>
      <c r="M393" s="8"/>
      <c r="N393" s="270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0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0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25000</v>
      </c>
      <c r="H396" s="18">
        <v>142.94</v>
      </c>
      <c r="I396" s="18"/>
      <c r="J396" s="24" t="s">
        <v>286</v>
      </c>
      <c r="K396" s="24" t="s">
        <v>286</v>
      </c>
      <c r="L396" s="56">
        <f t="shared" si="26"/>
        <v>25142.94</v>
      </c>
      <c r="M396" s="8"/>
      <c r="N396" s="270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0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0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0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0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142.94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25142.94</v>
      </c>
      <c r="M401" s="8"/>
      <c r="N401" s="270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0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0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0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0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0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0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279.25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50279.25</v>
      </c>
      <c r="M408" s="8"/>
      <c r="N408" s="270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0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0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0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0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0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0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96150.41</v>
      </c>
      <c r="G439" s="18">
        <v>100514.65</v>
      </c>
      <c r="H439" s="18"/>
      <c r="I439" s="56">
        <f t="shared" ref="I439:I445" si="33">SUM(F439:H439)</f>
        <v>196665.06</v>
      </c>
      <c r="J439" s="24" t="s">
        <v>286</v>
      </c>
      <c r="K439" s="24" t="s">
        <v>286</v>
      </c>
      <c r="L439" s="24" t="s">
        <v>286</v>
      </c>
      <c r="M439" s="8"/>
      <c r="N439" s="270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0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0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0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0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0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0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96150.41</v>
      </c>
      <c r="G446" s="13">
        <f>SUM(G439:G445)</f>
        <v>100514.65</v>
      </c>
      <c r="H446" s="13">
        <f>SUM(H439:H445)</f>
        <v>0</v>
      </c>
      <c r="I446" s="13">
        <f>SUM(I439:I445)</f>
        <v>196665.06</v>
      </c>
      <c r="J446" s="24" t="s">
        <v>286</v>
      </c>
      <c r="K446" s="24" t="s">
        <v>286</v>
      </c>
      <c r="L446" s="24" t="s">
        <v>286</v>
      </c>
      <c r="M446" s="8"/>
      <c r="N446" s="270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0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0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0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0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0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0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0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0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0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96150.41</v>
      </c>
      <c r="G459" s="18">
        <v>100514.65</v>
      </c>
      <c r="H459" s="18"/>
      <c r="I459" s="56">
        <f t="shared" si="34"/>
        <v>196665.06</v>
      </c>
      <c r="J459" s="24" t="s">
        <v>286</v>
      </c>
      <c r="K459" s="24" t="s">
        <v>286</v>
      </c>
      <c r="L459" s="24" t="s">
        <v>286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96150.41</v>
      </c>
      <c r="G460" s="83">
        <f>SUM(G454:G459)</f>
        <v>100514.65</v>
      </c>
      <c r="H460" s="83">
        <f>SUM(H454:H459)</f>
        <v>0</v>
      </c>
      <c r="I460" s="83">
        <f>SUM(I454:I459)</f>
        <v>196665.06</v>
      </c>
      <c r="J460" s="24" t="s">
        <v>286</v>
      </c>
      <c r="K460" s="24" t="s">
        <v>286</v>
      </c>
      <c r="L460" s="24" t="s">
        <v>286</v>
      </c>
      <c r="N460" s="217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96150.41</v>
      </c>
      <c r="G461" s="42">
        <f>G452+G460</f>
        <v>100514.65</v>
      </c>
      <c r="H461" s="42">
        <f>H452+H460</f>
        <v>0</v>
      </c>
      <c r="I461" s="42">
        <f>I452+I460</f>
        <v>196665.06</v>
      </c>
      <c r="J461" s="24" t="s">
        <v>286</v>
      </c>
      <c r="K461" s="24" t="s">
        <v>286</v>
      </c>
      <c r="L461" s="24" t="s">
        <v>286</v>
      </c>
      <c r="N461" s="217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17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128069.17</v>
      </c>
      <c r="G465" s="18"/>
      <c r="H465" s="18"/>
      <c r="I465" s="18"/>
      <c r="J465" s="18">
        <v>146385.81</v>
      </c>
      <c r="K465" s="24" t="s">
        <v>286</v>
      </c>
      <c r="L465" s="24" t="s">
        <v>286</v>
      </c>
      <c r="N465" s="217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17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17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5642244.72-11624.8</f>
        <v>5630619.9199999999</v>
      </c>
      <c r="G468" s="18">
        <v>147961.19</v>
      </c>
      <c r="H468" s="18">
        <v>295657.43</v>
      </c>
      <c r="I468" s="18"/>
      <c r="J468" s="18">
        <v>50279.25</v>
      </c>
      <c r="K468" s="24" t="s">
        <v>286</v>
      </c>
      <c r="L468" s="24" t="s">
        <v>286</v>
      </c>
      <c r="N468" s="217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17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5630619.9199999999</v>
      </c>
      <c r="G470" s="53">
        <f>SUM(G468:G469)</f>
        <v>147961.19</v>
      </c>
      <c r="H470" s="53">
        <f>SUM(H468:H469)</f>
        <v>295657.43</v>
      </c>
      <c r="I470" s="53">
        <f>SUM(I468:I469)</f>
        <v>0</v>
      </c>
      <c r="J470" s="53">
        <f>SUM(J468:J469)</f>
        <v>50279.25</v>
      </c>
      <c r="K470" s="24" t="s">
        <v>286</v>
      </c>
      <c r="L470" s="24" t="s">
        <v>286</v>
      </c>
      <c r="N470" s="217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17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5633878.7999999998</v>
      </c>
      <c r="G472" s="18">
        <v>147961.19</v>
      </c>
      <c r="H472" s="18">
        <v>286657.43</v>
      </c>
      <c r="I472" s="18"/>
      <c r="J472" s="18"/>
      <c r="K472" s="24" t="s">
        <v>286</v>
      </c>
      <c r="L472" s="24" t="s">
        <v>286</v>
      </c>
      <c r="N472" s="217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17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5633878.7999999998</v>
      </c>
      <c r="G474" s="53">
        <f>SUM(G472:G473)</f>
        <v>147961.19</v>
      </c>
      <c r="H474" s="53">
        <f>SUM(H472:H473)</f>
        <v>286657.43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17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17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124810.29000000004</v>
      </c>
      <c r="G476" s="53">
        <f>(G465+G470)- G474</f>
        <v>0</v>
      </c>
      <c r="H476" s="53">
        <f>(H465+H470)- H474</f>
        <v>9000</v>
      </c>
      <c r="I476" s="53">
        <f>(I465+I470)- I474</f>
        <v>0</v>
      </c>
      <c r="J476" s="53">
        <f>(J465+J470)- J474</f>
        <v>196665.06</v>
      </c>
      <c r="K476" s="24" t="s">
        <v>286</v>
      </c>
      <c r="L476" s="24" t="s">
        <v>286</v>
      </c>
      <c r="N476" s="217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17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17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17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17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17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17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17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12</v>
      </c>
      <c r="G490" s="154"/>
      <c r="H490" s="154"/>
      <c r="I490" s="154"/>
      <c r="J490" s="154"/>
      <c r="K490" s="24" t="s">
        <v>286</v>
      </c>
      <c r="L490" s="24" t="s">
        <v>286</v>
      </c>
      <c r="N490" s="217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17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17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393150</v>
      </c>
      <c r="G493" s="18"/>
      <c r="H493" s="18"/>
      <c r="I493" s="18"/>
      <c r="J493" s="18"/>
      <c r="K493" s="24" t="s">
        <v>286</v>
      </c>
      <c r="L493" s="24" t="s">
        <v>286</v>
      </c>
      <c r="N493" s="217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</v>
      </c>
      <c r="G494" s="18"/>
      <c r="H494" s="18"/>
      <c r="I494" s="18"/>
      <c r="J494" s="18"/>
      <c r="K494" s="24" t="s">
        <v>286</v>
      </c>
      <c r="L494" s="24" t="s">
        <v>286</v>
      </c>
      <c r="N494" s="217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393150</v>
      </c>
      <c r="G495" s="18"/>
      <c r="H495" s="18"/>
      <c r="I495" s="18"/>
      <c r="J495" s="18"/>
      <c r="K495" s="53">
        <f>SUM(F495:J495)</f>
        <v>393150</v>
      </c>
      <c r="L495" s="24" t="s">
        <v>286</v>
      </c>
      <c r="N495" s="217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17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22110.3</v>
      </c>
      <c r="G497" s="18"/>
      <c r="H497" s="18"/>
      <c r="I497" s="18"/>
      <c r="J497" s="18"/>
      <c r="K497" s="53">
        <f t="shared" si="35"/>
        <v>22110.3</v>
      </c>
      <c r="L497" s="24" t="s">
        <v>286</v>
      </c>
      <c r="N497" s="217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371039.7</v>
      </c>
      <c r="G498" s="204"/>
      <c r="H498" s="204"/>
      <c r="I498" s="204"/>
      <c r="J498" s="204"/>
      <c r="K498" s="205">
        <f t="shared" si="35"/>
        <v>371039.7</v>
      </c>
      <c r="L498" s="206" t="s">
        <v>286</v>
      </c>
      <c r="N498" s="217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72623.73</v>
      </c>
      <c r="G499" s="18"/>
      <c r="H499" s="18"/>
      <c r="I499" s="18"/>
      <c r="J499" s="18"/>
      <c r="K499" s="53">
        <f t="shared" si="35"/>
        <v>72623.73</v>
      </c>
      <c r="L499" s="24" t="s">
        <v>286</v>
      </c>
      <c r="N499" s="217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443663.43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443663.43</v>
      </c>
      <c r="L500" s="45" t="s">
        <v>286</v>
      </c>
      <c r="N500" s="217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22110.3</v>
      </c>
      <c r="G501" s="204"/>
      <c r="H501" s="204"/>
      <c r="I501" s="204"/>
      <c r="J501" s="204"/>
      <c r="K501" s="205">
        <f t="shared" si="35"/>
        <v>22110.3</v>
      </c>
      <c r="L501" s="206" t="s">
        <v>286</v>
      </c>
      <c r="N501" s="217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17990.89</v>
      </c>
      <c r="G502" s="18"/>
      <c r="H502" s="18"/>
      <c r="I502" s="18"/>
      <c r="J502" s="18"/>
      <c r="K502" s="53">
        <f t="shared" si="35"/>
        <v>17990.89</v>
      </c>
      <c r="L502" s="24" t="s">
        <v>286</v>
      </c>
      <c r="N502" s="217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40101.19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40101.19</v>
      </c>
      <c r="L503" s="45" t="s">
        <v>286</v>
      </c>
      <c r="N503" s="217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17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17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17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17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>
        <v>3105745.19</v>
      </c>
      <c r="G513" s="24" t="s">
        <v>286</v>
      </c>
      <c r="H513" s="18">
        <v>2982238.11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17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>
        <v>78637.820000000007</v>
      </c>
      <c r="G514" s="24" t="s">
        <v>286</v>
      </c>
      <c r="H514" s="18">
        <v>108888.2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17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17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17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3184383.01</v>
      </c>
      <c r="G517" s="42">
        <f>SUM(G511:G516)</f>
        <v>0</v>
      </c>
      <c r="H517" s="42">
        <f>SUM(H511:H516)</f>
        <v>3091126.31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17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17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17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214389.22</v>
      </c>
      <c r="G521" s="18">
        <v>110950.18</v>
      </c>
      <c r="H521" s="18">
        <v>94617.35</v>
      </c>
      <c r="I521" s="18">
        <v>2845.72</v>
      </c>
      <c r="J521" s="18">
        <v>565.34</v>
      </c>
      <c r="K521" s="18"/>
      <c r="L521" s="88">
        <f>SUM(F521:K521)</f>
        <v>423367.81</v>
      </c>
      <c r="N521" s="217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189314.21</v>
      </c>
      <c r="G522" s="18">
        <v>87733.92</v>
      </c>
      <c r="H522" s="18">
        <v>7128.96</v>
      </c>
      <c r="I522" s="18">
        <v>1353.25</v>
      </c>
      <c r="J522" s="18">
        <v>276.38</v>
      </c>
      <c r="K522" s="18"/>
      <c r="L522" s="88">
        <f>SUM(F522:K522)</f>
        <v>285806.72000000003</v>
      </c>
      <c r="N522" s="217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103834.44</v>
      </c>
      <c r="G523" s="18">
        <v>47538.400000000001</v>
      </c>
      <c r="H523" s="18">
        <v>9155.94</v>
      </c>
      <c r="I523" s="18">
        <v>2029.87</v>
      </c>
      <c r="J523" s="18">
        <v>414.58</v>
      </c>
      <c r="K523" s="18"/>
      <c r="L523" s="88">
        <f>SUM(F523:K523)</f>
        <v>162973.22999999998</v>
      </c>
      <c r="N523" s="217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507537.87</v>
      </c>
      <c r="G524" s="108">
        <f t="shared" ref="G524:L524" si="36">SUM(G521:G523)</f>
        <v>246222.49999999997</v>
      </c>
      <c r="H524" s="108">
        <f t="shared" si="36"/>
        <v>110902.25000000001</v>
      </c>
      <c r="I524" s="108">
        <f t="shared" si="36"/>
        <v>6228.8399999999992</v>
      </c>
      <c r="J524" s="108">
        <f t="shared" si="36"/>
        <v>1256.3</v>
      </c>
      <c r="K524" s="108">
        <f t="shared" si="36"/>
        <v>0</v>
      </c>
      <c r="L524" s="89">
        <f t="shared" si="36"/>
        <v>872147.76</v>
      </c>
      <c r="N524" s="217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17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89355.520000000004</v>
      </c>
      <c r="I526" s="18"/>
      <c r="J526" s="18"/>
      <c r="K526" s="18"/>
      <c r="L526" s="88">
        <f>SUM(F526:K526)</f>
        <v>89355.520000000004</v>
      </c>
      <c r="M526" s="8"/>
      <c r="N526" s="270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>
        <v>21047.56</v>
      </c>
      <c r="I527" s="18"/>
      <c r="J527" s="18"/>
      <c r="K527" s="18"/>
      <c r="L527" s="88">
        <f>SUM(F527:K527)</f>
        <v>21047.56</v>
      </c>
      <c r="M527" s="8"/>
      <c r="N527" s="270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26137.57</v>
      </c>
      <c r="I528" s="18"/>
      <c r="J528" s="18"/>
      <c r="K528" s="18"/>
      <c r="L528" s="88">
        <f>SUM(F528:K528)</f>
        <v>26137.57</v>
      </c>
      <c r="M528" s="8"/>
      <c r="N528" s="270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136540.65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136540.65</v>
      </c>
      <c r="M529" s="8"/>
      <c r="N529" s="270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0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20640.84</v>
      </c>
      <c r="G531" s="18">
        <v>13188.45</v>
      </c>
      <c r="H531" s="18"/>
      <c r="I531" s="18"/>
      <c r="J531" s="18"/>
      <c r="K531" s="18"/>
      <c r="L531" s="88">
        <f>SUM(F531:K531)</f>
        <v>33829.29</v>
      </c>
      <c r="M531" s="8"/>
      <c r="N531" s="270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13760.56</v>
      </c>
      <c r="G532" s="18">
        <v>8792.2999999999993</v>
      </c>
      <c r="H532" s="18"/>
      <c r="I532" s="18"/>
      <c r="J532" s="18"/>
      <c r="K532" s="18"/>
      <c r="L532" s="88">
        <f>SUM(F532:K532)</f>
        <v>22552.86</v>
      </c>
      <c r="M532" s="8"/>
      <c r="N532" s="270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28146.6</v>
      </c>
      <c r="G533" s="18">
        <v>17984.25</v>
      </c>
      <c r="H533" s="18"/>
      <c r="I533" s="18"/>
      <c r="J533" s="18"/>
      <c r="K533" s="18"/>
      <c r="L533" s="88">
        <f>SUM(F533:K533)</f>
        <v>46130.85</v>
      </c>
      <c r="M533" s="8"/>
      <c r="N533" s="270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62548</v>
      </c>
      <c r="G534" s="89">
        <f t="shared" ref="G534:L534" si="38">SUM(G531:G533)</f>
        <v>39965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102513</v>
      </c>
      <c r="M534" s="8"/>
      <c r="N534" s="270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0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0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4454.38</v>
      </c>
      <c r="I541" s="18"/>
      <c r="J541" s="18"/>
      <c r="K541" s="18"/>
      <c r="L541" s="88">
        <f>SUM(F541:K541)</f>
        <v>4454.38</v>
      </c>
      <c r="M541" s="8"/>
      <c r="N541" s="270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2799.9</v>
      </c>
      <c r="I542" s="18"/>
      <c r="J542" s="18"/>
      <c r="K542" s="18"/>
      <c r="L542" s="88">
        <f>SUM(F542:K542)</f>
        <v>2799.9</v>
      </c>
      <c r="M542" s="8"/>
      <c r="N542" s="270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5472.53</v>
      </c>
      <c r="I543" s="18"/>
      <c r="J543" s="18"/>
      <c r="K543" s="18"/>
      <c r="L543" s="88">
        <f>SUM(F543:K543)</f>
        <v>5472.53</v>
      </c>
      <c r="M543" s="8"/>
      <c r="N543" s="270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12726.810000000001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12726.810000000001</v>
      </c>
      <c r="M544" s="8"/>
      <c r="N544" s="270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570085.87</v>
      </c>
      <c r="G545" s="89">
        <f t="shared" ref="G545:L545" si="41">G524+G529+G534+G539+G544</f>
        <v>286187.5</v>
      </c>
      <c r="H545" s="89">
        <f t="shared" si="41"/>
        <v>260169.71000000002</v>
      </c>
      <c r="I545" s="89">
        <f t="shared" si="41"/>
        <v>6228.8399999999992</v>
      </c>
      <c r="J545" s="89">
        <f t="shared" si="41"/>
        <v>1256.3</v>
      </c>
      <c r="K545" s="89">
        <f t="shared" si="41"/>
        <v>0</v>
      </c>
      <c r="L545" s="89">
        <f t="shared" si="41"/>
        <v>1123928.2200000002</v>
      </c>
      <c r="M545" s="8"/>
      <c r="N545" s="270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0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0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423367.81</v>
      </c>
      <c r="G549" s="87">
        <f>L526</f>
        <v>89355.520000000004</v>
      </c>
      <c r="H549" s="87">
        <f>L531</f>
        <v>33829.29</v>
      </c>
      <c r="I549" s="87">
        <f>L536</f>
        <v>0</v>
      </c>
      <c r="J549" s="87">
        <f>L541</f>
        <v>4454.38</v>
      </c>
      <c r="K549" s="87">
        <f>SUM(F549:J549)</f>
        <v>551007</v>
      </c>
      <c r="L549" s="24" t="s">
        <v>286</v>
      </c>
      <c r="M549" s="8"/>
      <c r="N549" s="270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285806.72000000003</v>
      </c>
      <c r="G550" s="87">
        <f>L527</f>
        <v>21047.56</v>
      </c>
      <c r="H550" s="87">
        <f>L532</f>
        <v>22552.86</v>
      </c>
      <c r="I550" s="87">
        <f>L537</f>
        <v>0</v>
      </c>
      <c r="J550" s="87">
        <f>L542</f>
        <v>2799.9</v>
      </c>
      <c r="K550" s="87">
        <f>SUM(F550:J550)</f>
        <v>332207.04000000004</v>
      </c>
      <c r="L550" s="24" t="s">
        <v>286</v>
      </c>
      <c r="M550" s="8"/>
      <c r="N550" s="270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162973.22999999998</v>
      </c>
      <c r="G551" s="87">
        <f>L528</f>
        <v>26137.57</v>
      </c>
      <c r="H551" s="87">
        <f>L533</f>
        <v>46130.85</v>
      </c>
      <c r="I551" s="87">
        <f>L538</f>
        <v>0</v>
      </c>
      <c r="J551" s="87">
        <f>L543</f>
        <v>5472.53</v>
      </c>
      <c r="K551" s="87">
        <f>SUM(F551:J551)</f>
        <v>240714.18</v>
      </c>
      <c r="L551" s="24" t="s">
        <v>286</v>
      </c>
      <c r="M551" s="8"/>
      <c r="N551" s="270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872147.76</v>
      </c>
      <c r="G552" s="89">
        <f t="shared" si="42"/>
        <v>136540.65</v>
      </c>
      <c r="H552" s="89">
        <f t="shared" si="42"/>
        <v>102513</v>
      </c>
      <c r="I552" s="89">
        <f t="shared" si="42"/>
        <v>0</v>
      </c>
      <c r="J552" s="89">
        <f t="shared" si="42"/>
        <v>12726.810000000001</v>
      </c>
      <c r="K552" s="89">
        <f t="shared" si="42"/>
        <v>1123928.22</v>
      </c>
      <c r="L552" s="24"/>
      <c r="M552" s="8"/>
      <c r="N552" s="270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0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0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0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0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0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0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0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0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0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19027.73</v>
      </c>
      <c r="G579" s="18"/>
      <c r="H579" s="18"/>
      <c r="I579" s="87">
        <f t="shared" si="47"/>
        <v>19027.73</v>
      </c>
      <c r="J579" s="24" t="s">
        <v>286</v>
      </c>
      <c r="K579" s="24" t="s">
        <v>286</v>
      </c>
      <c r="L579" s="24" t="s">
        <v>286</v>
      </c>
      <c r="M579" s="8"/>
      <c r="N579" s="270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0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0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62881.25</v>
      </c>
      <c r="G582" s="18"/>
      <c r="H582" s="18"/>
      <c r="I582" s="87">
        <f t="shared" si="47"/>
        <v>62881.25</v>
      </c>
      <c r="J582" s="24" t="s">
        <v>286</v>
      </c>
      <c r="K582" s="24" t="s">
        <v>286</v>
      </c>
      <c r="L582" s="24" t="s">
        <v>286</v>
      </c>
      <c r="M582" s="8"/>
      <c r="N582" s="270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0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52475.32</v>
      </c>
      <c r="I584" s="87">
        <f t="shared" si="47"/>
        <v>52475.32</v>
      </c>
      <c r="J584" s="24" t="s">
        <v>286</v>
      </c>
      <c r="K584" s="24" t="s">
        <v>286</v>
      </c>
      <c r="L584" s="24" t="s">
        <v>286</v>
      </c>
      <c r="M584" s="8"/>
      <c r="N584" s="270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0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0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0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57544.73</v>
      </c>
      <c r="I591" s="18">
        <v>22038.41</v>
      </c>
      <c r="J591" s="18">
        <v>42852.45</v>
      </c>
      <c r="K591" s="104">
        <f t="shared" ref="K591:K597" si="48">SUM(H591:J591)</f>
        <v>122435.59</v>
      </c>
      <c r="L591" s="24" t="s">
        <v>286</v>
      </c>
      <c r="M591" s="8"/>
      <c r="N591" s="270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4454.38</v>
      </c>
      <c r="I592" s="18">
        <v>2799.9</v>
      </c>
      <c r="J592" s="18">
        <v>5472.53</v>
      </c>
      <c r="K592" s="104">
        <f t="shared" si="48"/>
        <v>12726.810000000001</v>
      </c>
      <c r="L592" s="24" t="s">
        <v>286</v>
      </c>
      <c r="M592" s="8"/>
      <c r="N592" s="270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28585</v>
      </c>
      <c r="K593" s="104">
        <f t="shared" si="48"/>
        <v>28585</v>
      </c>
      <c r="L593" s="24" t="s">
        <v>286</v>
      </c>
      <c r="M593" s="8"/>
      <c r="N593" s="270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7612.82</v>
      </c>
      <c r="J594" s="18">
        <v>19155.71</v>
      </c>
      <c r="K594" s="104">
        <f t="shared" si="48"/>
        <v>26768.53</v>
      </c>
      <c r="L594" s="24" t="s">
        <v>286</v>
      </c>
      <c r="M594" s="8"/>
      <c r="N594" s="270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5693</v>
      </c>
      <c r="I595" s="18">
        <v>1360</v>
      </c>
      <c r="J595" s="18">
        <v>8171.58</v>
      </c>
      <c r="K595" s="104">
        <f t="shared" si="48"/>
        <v>15224.58</v>
      </c>
      <c r="L595" s="24" t="s">
        <v>286</v>
      </c>
      <c r="M595" s="8"/>
      <c r="N595" s="270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0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4418.03</v>
      </c>
      <c r="I597" s="18">
        <v>2737.26</v>
      </c>
      <c r="J597" s="18">
        <v>5187.99</v>
      </c>
      <c r="K597" s="104">
        <f t="shared" si="48"/>
        <v>12343.279999999999</v>
      </c>
      <c r="L597" s="24" t="s">
        <v>286</v>
      </c>
      <c r="M597" s="8"/>
      <c r="N597" s="270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72110.14</v>
      </c>
      <c r="I598" s="108">
        <f>SUM(I591:I597)</f>
        <v>36548.390000000007</v>
      </c>
      <c r="J598" s="108">
        <f>SUM(J591:J597)</f>
        <v>109425.26000000001</v>
      </c>
      <c r="K598" s="108">
        <f>SUM(K591:K597)</f>
        <v>218083.78999999998</v>
      </c>
      <c r="L598" s="24" t="s">
        <v>286</v>
      </c>
      <c r="M598" s="8"/>
      <c r="N598" s="270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0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0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35241.910000000003</v>
      </c>
      <c r="I604" s="18">
        <v>17347.29</v>
      </c>
      <c r="J604" s="18">
        <v>52701.29</v>
      </c>
      <c r="K604" s="104">
        <f>SUM(H604:J604)</f>
        <v>105290.49</v>
      </c>
      <c r="L604" s="24" t="s">
        <v>286</v>
      </c>
      <c r="M604" s="8"/>
      <c r="N604" s="270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35241.910000000003</v>
      </c>
      <c r="I605" s="108">
        <f>SUM(I602:I604)</f>
        <v>17347.29</v>
      </c>
      <c r="J605" s="108">
        <f>SUM(J602:J604)</f>
        <v>52701.29</v>
      </c>
      <c r="K605" s="108">
        <f>SUM(K602:K604)</f>
        <v>105290.49</v>
      </c>
      <c r="L605" s="24" t="s">
        <v>286</v>
      </c>
      <c r="M605" s="8"/>
      <c r="N605" s="270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0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3930.5</v>
      </c>
      <c r="G611" s="18">
        <v>862.55</v>
      </c>
      <c r="H611" s="18"/>
      <c r="I611" s="18"/>
      <c r="J611" s="18"/>
      <c r="K611" s="18"/>
      <c r="L611" s="88">
        <f>SUM(F611:K611)</f>
        <v>4793.05</v>
      </c>
      <c r="M611" s="8"/>
      <c r="N611" s="270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2008.6</v>
      </c>
      <c r="G612" s="18">
        <v>454.24</v>
      </c>
      <c r="H612" s="18"/>
      <c r="I612" s="18"/>
      <c r="J612" s="18"/>
      <c r="K612" s="18"/>
      <c r="L612" s="88">
        <f>SUM(F612:K612)</f>
        <v>2462.84</v>
      </c>
      <c r="M612" s="8"/>
      <c r="N612" s="270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3925.9</v>
      </c>
      <c r="G613" s="18">
        <v>887.81</v>
      </c>
      <c r="H613" s="18"/>
      <c r="I613" s="18"/>
      <c r="J613" s="18"/>
      <c r="K613" s="18"/>
      <c r="L613" s="88">
        <f>SUM(F613:K613)</f>
        <v>4813.71</v>
      </c>
      <c r="M613" s="8"/>
      <c r="N613" s="270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9865</v>
      </c>
      <c r="G614" s="108">
        <f t="shared" si="49"/>
        <v>2204.6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12069.6</v>
      </c>
      <c r="M614" s="8"/>
      <c r="N614" s="270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202334.52</v>
      </c>
      <c r="H617" s="109">
        <f>SUM(F52)</f>
        <v>202334.52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15669.29</v>
      </c>
      <c r="H618" s="109">
        <f>SUM(G52)</f>
        <v>15669.289999999999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67497.89</v>
      </c>
      <c r="H619" s="109">
        <f>SUM(H52)</f>
        <v>67497.89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196665.06</v>
      </c>
      <c r="H621" s="109">
        <f>SUM(J52)</f>
        <v>196665.06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124810.29</v>
      </c>
      <c r="H622" s="109">
        <f>F476</f>
        <v>124810.29000000004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9000</v>
      </c>
      <c r="H624" s="109">
        <f>H476</f>
        <v>9000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196665.06</v>
      </c>
      <c r="H626" s="109">
        <f>J476</f>
        <v>196665.06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5630619.9199999999</v>
      </c>
      <c r="H627" s="104">
        <f>SUM(F468)</f>
        <v>5630619.9199999999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147961.19</v>
      </c>
      <c r="H628" s="104">
        <f>SUM(G468)</f>
        <v>147961.19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295657.43</v>
      </c>
      <c r="H629" s="104">
        <f>SUM(H468)</f>
        <v>295657.43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50279.25</v>
      </c>
      <c r="H631" s="104">
        <f>SUM(J468)</f>
        <v>50279.25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5633878.7999999998</v>
      </c>
      <c r="H632" s="104">
        <f>SUM(F472)</f>
        <v>5633878.7999999998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286657.43000000005</v>
      </c>
      <c r="H633" s="104">
        <f>SUM(H472)</f>
        <v>286657.43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147961.19</v>
      </c>
      <c r="H635" s="104">
        <f>SUM(G472)</f>
        <v>147961.19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50279.25</v>
      </c>
      <c r="H637" s="164">
        <f>SUM(J468)</f>
        <v>50279.25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96150.41</v>
      </c>
      <c r="H639" s="104">
        <f>SUM(F461)</f>
        <v>96150.41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100514.65</v>
      </c>
      <c r="H640" s="104">
        <f>SUM(G461)</f>
        <v>100514.65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196665.06</v>
      </c>
      <c r="H642" s="104">
        <f>SUM(I461)</f>
        <v>196665.06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279.25</v>
      </c>
      <c r="H644" s="104">
        <f>H408</f>
        <v>279.25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50279.25</v>
      </c>
      <c r="H646" s="104">
        <f>L408</f>
        <v>50279.25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218083.78999999998</v>
      </c>
      <c r="H647" s="104">
        <f>L208+L226+L244</f>
        <v>218083.78999999998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105290.49</v>
      </c>
      <c r="H648" s="104">
        <f>(J257+J338)-(J255+J336)</f>
        <v>105290.48999999999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72110.14</v>
      </c>
      <c r="H649" s="104">
        <f>H598</f>
        <v>72110.14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36548.39</v>
      </c>
      <c r="H650" s="104">
        <f>I598</f>
        <v>36548.390000000007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109425.26</v>
      </c>
      <c r="H651" s="104">
        <f>J598</f>
        <v>109425.26000000001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4860.88</v>
      </c>
      <c r="H652" s="104">
        <f>K263+K345</f>
        <v>4860.88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2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2355402.8099999996</v>
      </c>
      <c r="G660" s="19">
        <f>(L229+L309+L359)</f>
        <v>1353148.3900000004</v>
      </c>
      <c r="H660" s="19">
        <f>(L247+L328+L360)</f>
        <v>2258042.5099999993</v>
      </c>
      <c r="I660" s="19">
        <f>SUM(F660:H660)</f>
        <v>5966593.709999999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16779.611508666563</v>
      </c>
      <c r="G661" s="19">
        <f>(L359/IF(SUM(L358:L360)=0,1,SUM(L358:L360))*(SUM(G97:G110)))</f>
        <v>11186.405381424684</v>
      </c>
      <c r="H661" s="19">
        <f>(L360/IF(SUM(L358:L360)=0,1,SUM(L358:L360))*(SUM(G97:G110)))</f>
        <v>22881.283109908753</v>
      </c>
      <c r="I661" s="19">
        <f>SUM(F661:H661)</f>
        <v>50847.3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72110.14</v>
      </c>
      <c r="G662" s="19">
        <f>(L226+L306)-(J226+J306)</f>
        <v>36548.39</v>
      </c>
      <c r="H662" s="19">
        <f>(L244+L325)-(J244+J325)</f>
        <v>109425.26</v>
      </c>
      <c r="I662" s="19">
        <f>SUM(F662:H662)</f>
        <v>218083.78999999998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121943.94</v>
      </c>
      <c r="G663" s="199">
        <f>SUM(G575:G587)+SUM(I602:I604)+L612</f>
        <v>19810.13</v>
      </c>
      <c r="H663" s="199">
        <f>SUM(H575:H587)+SUM(J602:J604)+L613</f>
        <v>109990.32</v>
      </c>
      <c r="I663" s="19">
        <f>SUM(F663:H663)</f>
        <v>251744.39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2144569.118491333</v>
      </c>
      <c r="G664" s="19">
        <f>G660-SUM(G661:G663)</f>
        <v>1285603.4646185758</v>
      </c>
      <c r="H664" s="19">
        <f>H660-SUM(H661:H663)</f>
        <v>2015745.6468900905</v>
      </c>
      <c r="I664" s="19">
        <f>I660-SUM(I661:I663)</f>
        <v>5445918.2299999986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172.9</v>
      </c>
      <c r="G665" s="248">
        <v>64.33</v>
      </c>
      <c r="H665" s="248">
        <v>102.4</v>
      </c>
      <c r="I665" s="19">
        <f>SUM(F665:H665)</f>
        <v>339.63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12403.52</v>
      </c>
      <c r="G667" s="19">
        <f>ROUND(G664/G665,2)</f>
        <v>19984.509999999998</v>
      </c>
      <c r="H667" s="19">
        <f>ROUND(H664/H665,2)</f>
        <v>19685.02</v>
      </c>
      <c r="I667" s="19">
        <f>ROUND(I664/I665,2)</f>
        <v>16034.86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-10.94</v>
      </c>
      <c r="I670" s="19">
        <f>SUM(F670:H670)</f>
        <v>-10.94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12403.52</v>
      </c>
      <c r="G672" s="19">
        <f>ROUND((G664+G669)/(G665+G670),2)</f>
        <v>19984.509999999998</v>
      </c>
      <c r="H672" s="19">
        <f>ROUND((H664+H669)/(H665+H670),2)</f>
        <v>22039.64</v>
      </c>
      <c r="I672" s="19">
        <f>ROUND((I664+I669)/(I665+I670),2)</f>
        <v>16568.55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70" fitToHeight="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11" man="1"/>
    <brk id="169" max="11" man="1"/>
    <brk id="193" max="11" man="1"/>
    <brk id="211" max="11" man="1"/>
    <brk id="229" max="11" man="1"/>
    <brk id="247" max="11" man="1"/>
    <brk id="271" max="11" man="1"/>
    <brk id="290" max="11" man="1"/>
    <brk id="309" max="11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11" man="1"/>
    <brk id="552" max="11" man="1"/>
    <brk id="588" max="11" man="1"/>
    <brk id="615" max="11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LISBON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6" t="s">
        <v>778</v>
      </c>
      <c r="B3" s="276"/>
      <c r="C3" s="276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777</v>
      </c>
      <c r="C6" s="275"/>
    </row>
    <row r="7" spans="1:3" x14ac:dyDescent="0.2">
      <c r="A7" s="239" t="s">
        <v>780</v>
      </c>
      <c r="B7" s="273" t="s">
        <v>776</v>
      </c>
      <c r="C7" s="274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1823850.3</v>
      </c>
      <c r="C9" s="229">
        <f>'DOE25'!G197+'DOE25'!G215+'DOE25'!G233+'DOE25'!G276+'DOE25'!G295+'DOE25'!G314</f>
        <v>844168.44</v>
      </c>
    </row>
    <row r="10" spans="1:3" x14ac:dyDescent="0.2">
      <c r="A10" t="s">
        <v>773</v>
      </c>
      <c r="B10" s="240">
        <v>1777579.51</v>
      </c>
      <c r="C10" s="240">
        <v>830597.6</v>
      </c>
    </row>
    <row r="11" spans="1:3" x14ac:dyDescent="0.2">
      <c r="A11" t="s">
        <v>774</v>
      </c>
      <c r="B11" s="240">
        <v>20863.29</v>
      </c>
      <c r="C11" s="240">
        <v>11627.17</v>
      </c>
    </row>
    <row r="12" spans="1:3" x14ac:dyDescent="0.2">
      <c r="A12" t="s">
        <v>775</v>
      </c>
      <c r="B12" s="240">
        <v>25407.5</v>
      </c>
      <c r="C12" s="240">
        <v>1943.67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1823850.3</v>
      </c>
      <c r="C13" s="231">
        <f>SUM(C10:C12)</f>
        <v>844168.44000000006</v>
      </c>
    </row>
    <row r="14" spans="1:3" x14ac:dyDescent="0.2">
      <c r="B14" s="230"/>
      <c r="C14" s="230"/>
    </row>
    <row r="15" spans="1:3" x14ac:dyDescent="0.2">
      <c r="B15" s="275" t="s">
        <v>777</v>
      </c>
      <c r="C15" s="275"/>
    </row>
    <row r="16" spans="1:3" x14ac:dyDescent="0.2">
      <c r="A16" s="239" t="s">
        <v>781</v>
      </c>
      <c r="B16" s="273" t="s">
        <v>701</v>
      </c>
      <c r="C16" s="274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507537.87</v>
      </c>
      <c r="C18" s="229">
        <f>'DOE25'!G198+'DOE25'!G216+'DOE25'!G234+'DOE25'!G277+'DOE25'!G296+'DOE25'!G315</f>
        <v>246222.49999999994</v>
      </c>
    </row>
    <row r="19" spans="1:3" x14ac:dyDescent="0.2">
      <c r="A19" t="s">
        <v>773</v>
      </c>
      <c r="B19" s="240">
        <v>236595.74</v>
      </c>
      <c r="C19" s="240">
        <v>98653.06</v>
      </c>
    </row>
    <row r="20" spans="1:3" x14ac:dyDescent="0.2">
      <c r="A20" t="s">
        <v>774</v>
      </c>
      <c r="B20" s="240">
        <v>247051.79</v>
      </c>
      <c r="C20" s="240">
        <v>147130.84</v>
      </c>
    </row>
    <row r="21" spans="1:3" x14ac:dyDescent="0.2">
      <c r="A21" t="s">
        <v>775</v>
      </c>
      <c r="B21" s="240">
        <v>23890.34</v>
      </c>
      <c r="C21" s="240">
        <v>438.6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507537.87000000005</v>
      </c>
      <c r="C22" s="231">
        <f>SUM(C19:C21)</f>
        <v>246222.5</v>
      </c>
    </row>
    <row r="23" spans="1:3" x14ac:dyDescent="0.2">
      <c r="B23" s="230"/>
      <c r="C23" s="230"/>
    </row>
    <row r="24" spans="1:3" x14ac:dyDescent="0.2">
      <c r="B24" s="275" t="s">
        <v>777</v>
      </c>
      <c r="C24" s="275"/>
    </row>
    <row r="25" spans="1:3" x14ac:dyDescent="0.2">
      <c r="A25" s="239" t="s">
        <v>782</v>
      </c>
      <c r="B25" s="273" t="s">
        <v>702</v>
      </c>
      <c r="C25" s="274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137651.5</v>
      </c>
      <c r="C27" s="234">
        <f>'DOE25'!G199+'DOE25'!G217+'DOE25'!G235+'DOE25'!G278+'DOE25'!G297+'DOE25'!G316</f>
        <v>65014.409999999996</v>
      </c>
    </row>
    <row r="28" spans="1:3" x14ac:dyDescent="0.2">
      <c r="A28" t="s">
        <v>773</v>
      </c>
      <c r="B28" s="240">
        <v>137651.5</v>
      </c>
      <c r="C28" s="240">
        <v>65014.41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137651.5</v>
      </c>
      <c r="C31" s="231">
        <f>SUM(C28:C30)</f>
        <v>65014.41</v>
      </c>
    </row>
    <row r="33" spans="1:3" x14ac:dyDescent="0.2">
      <c r="B33" s="275" t="s">
        <v>777</v>
      </c>
      <c r="C33" s="275"/>
    </row>
    <row r="34" spans="1:3" x14ac:dyDescent="0.2">
      <c r="A34" s="239" t="s">
        <v>783</v>
      </c>
      <c r="B34" s="273" t="s">
        <v>703</v>
      </c>
      <c r="C34" s="274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68961</v>
      </c>
      <c r="C36" s="235">
        <f>'DOE25'!G200+'DOE25'!G218+'DOE25'!G236+'DOE25'!G279+'DOE25'!G298+'DOE25'!G317</f>
        <v>13989.2</v>
      </c>
    </row>
    <row r="37" spans="1:3" x14ac:dyDescent="0.2">
      <c r="A37" t="s">
        <v>773</v>
      </c>
      <c r="B37" s="240">
        <v>68961</v>
      </c>
      <c r="C37" s="240">
        <v>13989.2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68961</v>
      </c>
      <c r="C40" s="231">
        <f>SUM(C37:C39)</f>
        <v>13989.2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C20" sqref="C20"/>
      <selection pane="bottomLeft" activeCell="D36" sqref="D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784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711</v>
      </c>
      <c r="B2" s="265" t="str">
        <f>'DOE25'!A2</f>
        <v>LISBON REGIONAL SCHOOL DISTRICT</v>
      </c>
      <c r="C2" s="181"/>
      <c r="D2" s="181" t="s">
        <v>786</v>
      </c>
      <c r="E2" s="181" t="s">
        <v>788</v>
      </c>
      <c r="F2" s="277" t="s">
        <v>815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3724463.5699999994</v>
      </c>
      <c r="D5" s="20">
        <f>SUM('DOE25'!L197:L200)+SUM('DOE25'!L215:L218)+SUM('DOE25'!L233:L236)-F5-G5</f>
        <v>3702171.7399999993</v>
      </c>
      <c r="E5" s="243"/>
      <c r="F5" s="255">
        <f>SUM('DOE25'!J197:J200)+SUM('DOE25'!J215:J218)+SUM('DOE25'!J233:J236)</f>
        <v>19496.830000000002</v>
      </c>
      <c r="G5" s="53">
        <f>SUM('DOE25'!K197:K200)+SUM('DOE25'!K215:K218)+SUM('DOE25'!K233:K236)</f>
        <v>2795</v>
      </c>
      <c r="H5" s="259"/>
    </row>
    <row r="6" spans="1:9" x14ac:dyDescent="0.2">
      <c r="A6" s="32">
        <v>2100</v>
      </c>
      <c r="B6" t="s">
        <v>795</v>
      </c>
      <c r="C6" s="245">
        <f t="shared" si="0"/>
        <v>358710.19</v>
      </c>
      <c r="D6" s="20">
        <f>'DOE25'!L202+'DOE25'!L220+'DOE25'!L238-F6-G6</f>
        <v>358565.19</v>
      </c>
      <c r="E6" s="243"/>
      <c r="F6" s="255">
        <f>'DOE25'!J202+'DOE25'!J220+'DOE25'!J238</f>
        <v>145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110326.72</v>
      </c>
      <c r="D7" s="20">
        <f>'DOE25'!L203+'DOE25'!L221+'DOE25'!L239-F7-G7</f>
        <v>101844.12</v>
      </c>
      <c r="E7" s="243"/>
      <c r="F7" s="255">
        <f>'DOE25'!J203+'DOE25'!J221+'DOE25'!J239</f>
        <v>0</v>
      </c>
      <c r="G7" s="53">
        <f>'DOE25'!K203+'DOE25'!K221+'DOE25'!K239</f>
        <v>8482.6</v>
      </c>
      <c r="H7" s="259"/>
    </row>
    <row r="8" spans="1:9" x14ac:dyDescent="0.2">
      <c r="A8" s="32">
        <v>2300</v>
      </c>
      <c r="B8" t="s">
        <v>796</v>
      </c>
      <c r="C8" s="245">
        <f t="shared" si="0"/>
        <v>143097.54</v>
      </c>
      <c r="D8" s="243"/>
      <c r="E8" s="20">
        <f>'DOE25'!L204+'DOE25'!L222+'DOE25'!L240-F8-G8-D9-D11</f>
        <v>126445.64000000001</v>
      </c>
      <c r="F8" s="255">
        <f>'DOE25'!J204+'DOE25'!J222+'DOE25'!J240</f>
        <v>0</v>
      </c>
      <c r="G8" s="53">
        <f>'DOE25'!K204+'DOE25'!K222+'DOE25'!K240</f>
        <v>16651.900000000001</v>
      </c>
      <c r="H8" s="259"/>
    </row>
    <row r="9" spans="1:9" x14ac:dyDescent="0.2">
      <c r="A9" s="32">
        <v>2310</v>
      </c>
      <c r="B9" t="s">
        <v>812</v>
      </c>
      <c r="C9" s="245">
        <f t="shared" si="0"/>
        <v>63296.99</v>
      </c>
      <c r="D9" s="244">
        <v>63296.99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8715</v>
      </c>
      <c r="D10" s="243"/>
      <c r="E10" s="244">
        <v>8715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65375.46</v>
      </c>
      <c r="D11" s="244">
        <v>65375.46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321812.51</v>
      </c>
      <c r="D12" s="20">
        <f>'DOE25'!L205+'DOE25'!L223+'DOE25'!L241-F12-G12</f>
        <v>314469.12</v>
      </c>
      <c r="E12" s="243"/>
      <c r="F12" s="255">
        <f>'DOE25'!J205+'DOE25'!J223+'DOE25'!J241</f>
        <v>622.9</v>
      </c>
      <c r="G12" s="53">
        <f>'DOE25'!K205+'DOE25'!K223+'DOE25'!K241</f>
        <v>6720.49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392091.66000000003</v>
      </c>
      <c r="D14" s="20">
        <f>'DOE25'!L207+'DOE25'!L225+'DOE25'!L243-F14-G14</f>
        <v>353255.57</v>
      </c>
      <c r="E14" s="243"/>
      <c r="F14" s="255">
        <f>'DOE25'!J207+'DOE25'!J225+'DOE25'!J243</f>
        <v>38736.629999999997</v>
      </c>
      <c r="G14" s="53">
        <f>'DOE25'!K207+'DOE25'!K225+'DOE25'!K243</f>
        <v>99.46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218083.78999999998</v>
      </c>
      <c r="D15" s="20">
        <f>'DOE25'!L208+'DOE25'!L226+'DOE25'!L244-F15-G15</f>
        <v>218083.78999999998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139545.68</v>
      </c>
      <c r="D16" s="243"/>
      <c r="E16" s="20">
        <f>'DOE25'!L209+'DOE25'!L227+'DOE25'!L245-F16-G16</f>
        <v>101987.82999999999</v>
      </c>
      <c r="F16" s="255">
        <f>'DOE25'!J209+'DOE25'!J227+'DOE25'!J245</f>
        <v>37557.85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33904.800000000003</v>
      </c>
      <c r="D25" s="243"/>
      <c r="E25" s="243"/>
      <c r="F25" s="258"/>
      <c r="G25" s="256"/>
      <c r="H25" s="257">
        <f>'DOE25'!L260+'DOE25'!L261+'DOE25'!L341+'DOE25'!L342</f>
        <v>33904.800000000003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147961.19</v>
      </c>
      <c r="D29" s="20">
        <f>'DOE25'!L358+'DOE25'!L359+'DOE25'!L360-'DOE25'!I367-F29-G29</f>
        <v>147961.19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286657.43000000005</v>
      </c>
      <c r="D31" s="20">
        <f>'DOE25'!L290+'DOE25'!L309+'DOE25'!L328+'DOE25'!L333+'DOE25'!L334+'DOE25'!L335-F31-G31</f>
        <v>271765.02</v>
      </c>
      <c r="E31" s="243"/>
      <c r="F31" s="255">
        <f>'DOE25'!J290+'DOE25'!J309+'DOE25'!J328+'DOE25'!J333+'DOE25'!J334+'DOE25'!J335</f>
        <v>8731.2799999999988</v>
      </c>
      <c r="G31" s="53">
        <f>'DOE25'!K290+'DOE25'!K309+'DOE25'!K328+'DOE25'!K333+'DOE25'!K334+'DOE25'!K335</f>
        <v>6161.130000000001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5596788.1899999995</v>
      </c>
      <c r="E33" s="246">
        <f>SUM(E5:E31)</f>
        <v>237148.47</v>
      </c>
      <c r="F33" s="246">
        <f>SUM(F5:F31)</f>
        <v>105290.48999999999</v>
      </c>
      <c r="G33" s="246">
        <f>SUM(G5:G31)</f>
        <v>40910.58</v>
      </c>
      <c r="H33" s="246">
        <f>SUM(H5:H31)</f>
        <v>33904.800000000003</v>
      </c>
    </row>
    <row r="35" spans="2:8" ht="12" thickBot="1" x14ac:dyDescent="0.25">
      <c r="B35" s="253" t="s">
        <v>841</v>
      </c>
      <c r="D35" s="254">
        <f>E33</f>
        <v>237148.47</v>
      </c>
      <c r="E35" s="249"/>
    </row>
    <row r="36" spans="2:8" ht="12" thickTop="1" x14ac:dyDescent="0.2">
      <c r="B36" t="s">
        <v>809</v>
      </c>
      <c r="D36" s="20">
        <f>D33</f>
        <v>5596788.1899999995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C20" sqref="C20"/>
      <selection pane="bottomLeft" activeCell="C20" sqref="C2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LISBON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97704.49</v>
      </c>
      <c r="D8" s="95">
        <f>'DOE25'!G9</f>
        <v>60.11</v>
      </c>
      <c r="E8" s="95">
        <f>'DOE25'!H9</f>
        <v>0</v>
      </c>
      <c r="F8" s="95">
        <f>'DOE25'!I9</f>
        <v>0</v>
      </c>
      <c r="G8" s="95">
        <f>'DOE25'!J9</f>
        <v>196665.06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59726.45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15755.36</v>
      </c>
      <c r="D12" s="95">
        <f>'DOE25'!G13</f>
        <v>15271.23</v>
      </c>
      <c r="E12" s="95">
        <f>'DOE25'!H13</f>
        <v>67147.89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13123.22</v>
      </c>
      <c r="D13" s="95">
        <f>'DOE25'!G14</f>
        <v>337.95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16025</v>
      </c>
      <c r="D16" s="95">
        <f>'DOE25'!G17</f>
        <v>0</v>
      </c>
      <c r="E16" s="95">
        <f>'DOE25'!H17</f>
        <v>350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202334.52</v>
      </c>
      <c r="D18" s="41">
        <f>SUM(D8:D17)</f>
        <v>15669.29</v>
      </c>
      <c r="E18" s="41">
        <f>SUM(E8:E17)</f>
        <v>67497.89</v>
      </c>
      <c r="F18" s="41">
        <f>SUM(F8:F17)</f>
        <v>0</v>
      </c>
      <c r="G18" s="41">
        <f>SUM(G8:G17)</f>
        <v>196665.06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13083.41</v>
      </c>
      <c r="E21" s="95">
        <f>'DOE25'!H22</f>
        <v>58267.839999999997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11433.8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66090.429999999993</v>
      </c>
      <c r="D23" s="95">
        <f>'DOE25'!G24</f>
        <v>1105.07</v>
      </c>
      <c r="E23" s="95">
        <f>'DOE25'!H24</f>
        <v>230.05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1480.81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77524.23</v>
      </c>
      <c r="D31" s="41">
        <f>SUM(D21:D30)</f>
        <v>15669.289999999999</v>
      </c>
      <c r="E31" s="41">
        <f>SUM(E21:E30)</f>
        <v>58497.89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16025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9000</v>
      </c>
      <c r="F47" s="95">
        <f>'DOE25'!I48</f>
        <v>0</v>
      </c>
      <c r="G47" s="95">
        <f>'DOE25'!J48</f>
        <v>196665.06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88785.29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124810.29</v>
      </c>
      <c r="D50" s="41">
        <f>SUM(D34:D49)</f>
        <v>0</v>
      </c>
      <c r="E50" s="41">
        <f>SUM(E34:E49)</f>
        <v>9000</v>
      </c>
      <c r="F50" s="41">
        <f>SUM(F34:F49)</f>
        <v>0</v>
      </c>
      <c r="G50" s="41">
        <f>SUM(G34:G49)</f>
        <v>196665.06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202334.52</v>
      </c>
      <c r="D51" s="41">
        <f>D50+D31</f>
        <v>15669.289999999999</v>
      </c>
      <c r="E51" s="41">
        <f>E50+E31</f>
        <v>67497.89</v>
      </c>
      <c r="F51" s="41">
        <f>F50+F31</f>
        <v>0</v>
      </c>
      <c r="G51" s="41">
        <f>G50+G31</f>
        <v>196665.06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2490540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845581.15999999992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974.52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279.25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50847.3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22037.870000000003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868593.54999999993</v>
      </c>
      <c r="D62" s="130">
        <f>SUM(D57:D61)</f>
        <v>50847.3</v>
      </c>
      <c r="E62" s="130">
        <f>SUM(E57:E61)</f>
        <v>0</v>
      </c>
      <c r="F62" s="130">
        <f>SUM(F57:F61)</f>
        <v>0</v>
      </c>
      <c r="G62" s="130">
        <f>SUM(G57:G61)</f>
        <v>279.25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3359133.55</v>
      </c>
      <c r="D63" s="22">
        <f>D56+D62</f>
        <v>50847.3</v>
      </c>
      <c r="E63" s="22">
        <f>E56+E62</f>
        <v>0</v>
      </c>
      <c r="F63" s="22">
        <f>F56+F62</f>
        <v>0</v>
      </c>
      <c r="G63" s="22">
        <f>G56+G62</f>
        <v>279.25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1842060.8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345074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3260.88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2190395.6799999997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11851.400000000001</v>
      </c>
      <c r="D76" s="24" t="s">
        <v>286</v>
      </c>
      <c r="E76" s="95">
        <f>SUM('DOE25'!H127:H130)</f>
        <v>9664.98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5700</v>
      </c>
      <c r="D77" s="95">
        <f>SUM('DOE25'!G131:G135)</f>
        <v>2465.8000000000002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17551.400000000001</v>
      </c>
      <c r="D78" s="130">
        <f>SUM(D72:D77)</f>
        <v>2465.8000000000002</v>
      </c>
      <c r="E78" s="130">
        <f>SUM(E72:E77)</f>
        <v>9664.98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2207947.0799999996</v>
      </c>
      <c r="D81" s="130">
        <f>SUM(D79:D80)+D78+D70</f>
        <v>2465.8000000000002</v>
      </c>
      <c r="E81" s="130">
        <f>SUM(E79:E80)+E78+E70</f>
        <v>9664.98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6415.42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62832.83</v>
      </c>
      <c r="D88" s="95">
        <f>SUM('DOE25'!G153:G161)</f>
        <v>89787.21</v>
      </c>
      <c r="E88" s="95">
        <f>SUM('DOE25'!H153:H161)</f>
        <v>279577.03000000003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706.46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63539.29</v>
      </c>
      <c r="D91" s="131">
        <f>SUM(D85:D90)</f>
        <v>89787.21</v>
      </c>
      <c r="E91" s="131">
        <f>SUM(E85:E90)</f>
        <v>285992.45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4860.88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4860.88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5630619.919999999</v>
      </c>
      <c r="D104" s="86">
        <f>D63+D81+D91+D103</f>
        <v>147961.19</v>
      </c>
      <c r="E104" s="86">
        <f>E63+E81+E91+E103</f>
        <v>295657.43</v>
      </c>
      <c r="F104" s="86">
        <f>F63+F81+F91+F103</f>
        <v>0</v>
      </c>
      <c r="G104" s="86">
        <f>G63+G81+G103</f>
        <v>50279.25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2539232.9</v>
      </c>
      <c r="D109" s="24" t="s">
        <v>286</v>
      </c>
      <c r="E109" s="95">
        <f>('DOE25'!L276)+('DOE25'!L295)+('DOE25'!L314)</f>
        <v>194628.14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803107.27</v>
      </c>
      <c r="D110" s="24" t="s">
        <v>286</v>
      </c>
      <c r="E110" s="95">
        <f>('DOE25'!L277)+('DOE25'!L296)+('DOE25'!L315)</f>
        <v>70123.900000000009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260016.56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122106.84000000001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4829.0200000000004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3724463.57</v>
      </c>
      <c r="D115" s="86">
        <f>SUM(D109:D114)</f>
        <v>0</v>
      </c>
      <c r="E115" s="86">
        <f>SUM(E109:E114)</f>
        <v>269581.06000000006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358710.19</v>
      </c>
      <c r="D118" s="24" t="s">
        <v>286</v>
      </c>
      <c r="E118" s="95">
        <f>+('DOE25'!L281)+('DOE25'!L300)+('DOE25'!L319)</f>
        <v>3900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110326.72</v>
      </c>
      <c r="D119" s="24" t="s">
        <v>286</v>
      </c>
      <c r="E119" s="95">
        <f>+('DOE25'!L282)+('DOE25'!L301)+('DOE25'!L320)</f>
        <v>7370.66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271769.99</v>
      </c>
      <c r="D120" s="24" t="s">
        <v>286</v>
      </c>
      <c r="E120" s="95">
        <f>+('DOE25'!L283)+('DOE25'!L302)+('DOE25'!L321)</f>
        <v>5805.71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321812.51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392091.66000000003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218083.78999999998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139545.68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147961.19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1812340.5400000003</v>
      </c>
      <c r="D128" s="86">
        <f>SUM(D118:D127)</f>
        <v>147961.19</v>
      </c>
      <c r="E128" s="86">
        <f>SUM(E118:E127)</f>
        <v>17076.37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22110.3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11794.5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4860.88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25136.31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25142.94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-279.25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8309.01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97074.69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5633878.8000000007</v>
      </c>
      <c r="D145" s="86">
        <f>(D115+D128+D144)</f>
        <v>147961.19</v>
      </c>
      <c r="E145" s="86">
        <f>(E115+E128+E144)</f>
        <v>286657.43000000005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12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01/30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393150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393150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393150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22110.3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22110.3</v>
      </c>
    </row>
    <row r="159" spans="1:9" x14ac:dyDescent="0.2">
      <c r="A159" s="22" t="s">
        <v>35</v>
      </c>
      <c r="B159" s="137">
        <f>'DOE25'!F498</f>
        <v>371039.7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371039.7</v>
      </c>
    </row>
    <row r="160" spans="1:9" x14ac:dyDescent="0.2">
      <c r="A160" s="22" t="s">
        <v>36</v>
      </c>
      <c r="B160" s="137">
        <f>'DOE25'!F499</f>
        <v>72623.73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72623.73</v>
      </c>
    </row>
    <row r="161" spans="1:7" x14ac:dyDescent="0.2">
      <c r="A161" s="22" t="s">
        <v>37</v>
      </c>
      <c r="B161" s="137">
        <f>'DOE25'!F500</f>
        <v>443663.43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443663.43</v>
      </c>
    </row>
    <row r="162" spans="1:7" x14ac:dyDescent="0.2">
      <c r="A162" s="22" t="s">
        <v>38</v>
      </c>
      <c r="B162" s="137">
        <f>'DOE25'!F501</f>
        <v>22110.3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22110.3</v>
      </c>
    </row>
    <row r="163" spans="1:7" x14ac:dyDescent="0.2">
      <c r="A163" s="22" t="s">
        <v>39</v>
      </c>
      <c r="B163" s="137">
        <f>'DOE25'!F502</f>
        <v>17990.89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17990.89</v>
      </c>
    </row>
    <row r="164" spans="1:7" x14ac:dyDescent="0.2">
      <c r="A164" s="22" t="s">
        <v>246</v>
      </c>
      <c r="B164" s="137">
        <f>'DOE25'!F503</f>
        <v>40101.19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40101.19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20" sqref="C2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734</v>
      </c>
      <c r="B1" s="281"/>
      <c r="C1" s="281"/>
      <c r="D1" s="281"/>
    </row>
    <row r="2" spans="1:4" x14ac:dyDescent="0.2">
      <c r="A2" s="187" t="s">
        <v>711</v>
      </c>
      <c r="B2" s="186" t="str">
        <f>'DOE25'!A2</f>
        <v>LISBON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12404</v>
      </c>
    </row>
    <row r="5" spans="1:4" x14ac:dyDescent="0.2">
      <c r="B5" t="s">
        <v>698</v>
      </c>
      <c r="C5" s="179">
        <f>IF('DOE25'!G665+'DOE25'!G670=0,0,ROUND('DOE25'!G672,0))</f>
        <v>19985</v>
      </c>
    </row>
    <row r="6" spans="1:4" x14ac:dyDescent="0.2">
      <c r="B6" t="s">
        <v>62</v>
      </c>
      <c r="C6" s="179">
        <f>IF('DOE25'!H665+'DOE25'!H670=0,0,ROUND('DOE25'!H672,0))</f>
        <v>22040</v>
      </c>
    </row>
    <row r="7" spans="1:4" x14ac:dyDescent="0.2">
      <c r="B7" t="s">
        <v>699</v>
      </c>
      <c r="C7" s="179">
        <f>IF('DOE25'!I665+'DOE25'!I670=0,0,ROUND('DOE25'!I672,0))</f>
        <v>16569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2733861</v>
      </c>
      <c r="D10" s="182">
        <f>ROUND((C10/$C$28)*100,1)</f>
        <v>46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873231</v>
      </c>
      <c r="D11" s="182">
        <f>ROUND((C11/$C$28)*100,1)</f>
        <v>14.7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260017</v>
      </c>
      <c r="D12" s="182">
        <f>ROUND((C12/$C$28)*100,1)</f>
        <v>4.4000000000000004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122107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362610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117697</v>
      </c>
      <c r="D16" s="182">
        <f t="shared" si="0"/>
        <v>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417121</v>
      </c>
      <c r="D17" s="182">
        <f t="shared" si="0"/>
        <v>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321813</v>
      </c>
      <c r="D18" s="182">
        <f t="shared" si="0"/>
        <v>5.4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392092</v>
      </c>
      <c r="D20" s="182">
        <f t="shared" si="0"/>
        <v>6.6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218084</v>
      </c>
      <c r="D21" s="182">
        <f t="shared" si="0"/>
        <v>3.7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4829</v>
      </c>
      <c r="D24" s="182">
        <f t="shared" si="0"/>
        <v>0.1</v>
      </c>
    </row>
    <row r="25" spans="1:4" x14ac:dyDescent="0.2">
      <c r="A25">
        <v>5120</v>
      </c>
      <c r="B25" t="s">
        <v>714</v>
      </c>
      <c r="C25" s="179">
        <f>ROUND('DOE25'!L261+'DOE25'!L342,0)</f>
        <v>11795</v>
      </c>
      <c r="D25" s="182">
        <f t="shared" si="0"/>
        <v>0.2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8309.01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97113.7</v>
      </c>
      <c r="D27" s="182">
        <f t="shared" si="0"/>
        <v>1.6</v>
      </c>
    </row>
    <row r="28" spans="1:4" x14ac:dyDescent="0.2">
      <c r="B28" s="187" t="s">
        <v>717</v>
      </c>
      <c r="C28" s="180">
        <f>SUM(C10:C27)</f>
        <v>5940679.71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5940679.71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22110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2490540</v>
      </c>
      <c r="D35" s="182">
        <f t="shared" ref="D35:D40" si="1">ROUND((C35/$C$41)*100,1)</f>
        <v>41.4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868872.80000000028</v>
      </c>
      <c r="D36" s="182">
        <f t="shared" si="1"/>
        <v>14.4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2187135</v>
      </c>
      <c r="D37" s="182">
        <f t="shared" si="1"/>
        <v>36.299999999999997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32943</v>
      </c>
      <c r="D38" s="182">
        <f t="shared" si="1"/>
        <v>0.5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439319</v>
      </c>
      <c r="D39" s="182">
        <f t="shared" si="1"/>
        <v>7.3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6018809.8000000007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C20" sqref="C20"/>
      <selection pane="bottomLeft" activeCell="C20" sqref="C2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LISBON REGIONAL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9" t="s">
        <v>842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1"/>
      <c r="B74" s="211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1"/>
      <c r="B75" s="211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1"/>
      <c r="B76" s="211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1"/>
      <c r="B77" s="211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1"/>
      <c r="B78" s="211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1"/>
      <c r="B79" s="211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1"/>
      <c r="B80" s="211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1"/>
      <c r="B81" s="211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1"/>
      <c r="B82" s="211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1"/>
      <c r="B83" s="211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1"/>
      <c r="B84" s="211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1"/>
      <c r="B85" s="211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1"/>
      <c r="B86" s="211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1"/>
      <c r="B87" s="211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1"/>
      <c r="B88" s="211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1"/>
      <c r="B89" s="211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1"/>
      <c r="B90" s="211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60:M60"/>
    <mergeCell ref="C62:M62"/>
    <mergeCell ref="C61:M61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58:M58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1:M31"/>
    <mergeCell ref="C33:M33"/>
    <mergeCell ref="C37:M37"/>
    <mergeCell ref="DP29:DZ29"/>
    <mergeCell ref="CC30:CM30"/>
    <mergeCell ref="BC30:BM30"/>
    <mergeCell ref="BP30:BZ30"/>
    <mergeCell ref="DC30:DM30"/>
    <mergeCell ref="DP30:DZ30"/>
    <mergeCell ref="C14:M14"/>
    <mergeCell ref="C15:M15"/>
    <mergeCell ref="C16:M16"/>
    <mergeCell ref="C17:M17"/>
    <mergeCell ref="C18:M18"/>
    <mergeCell ref="C19:M19"/>
    <mergeCell ref="C20:M20"/>
    <mergeCell ref="DC29:DM29"/>
    <mergeCell ref="BC29:BM29"/>
    <mergeCell ref="BP29:BZ29"/>
    <mergeCell ref="CC29:CM29"/>
    <mergeCell ref="AP29:AZ29"/>
    <mergeCell ref="C30:M30"/>
    <mergeCell ref="CP30:CZ30"/>
    <mergeCell ref="P31:Z31"/>
    <mergeCell ref="AC31:AM31"/>
    <mergeCell ref="AP31:AZ31"/>
    <mergeCell ref="AP32:AZ32"/>
    <mergeCell ref="P30:Z30"/>
    <mergeCell ref="AC30:AM30"/>
    <mergeCell ref="AP30:AZ30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P32:Z32"/>
    <mergeCell ref="AC32:AM32"/>
    <mergeCell ref="C34:M34"/>
    <mergeCell ref="C32:M32"/>
    <mergeCell ref="C35:M35"/>
    <mergeCell ref="C36:M36"/>
    <mergeCell ref="C38:M38"/>
    <mergeCell ref="IC31:IM31"/>
    <mergeCell ref="IP31:IV31"/>
    <mergeCell ref="CP32:CZ32"/>
    <mergeCell ref="BC31:BM31"/>
    <mergeCell ref="BC32:BM32"/>
    <mergeCell ref="GP31:GZ31"/>
    <mergeCell ref="IP38:IV38"/>
    <mergeCell ref="HP32:HZ32"/>
    <mergeCell ref="IC32:IM32"/>
    <mergeCell ref="IP32:IV32"/>
    <mergeCell ref="EP38:EZ38"/>
    <mergeCell ref="FC38:FM38"/>
    <mergeCell ref="FP38:FZ38"/>
    <mergeCell ref="HC32:HM32"/>
    <mergeCell ref="DP38:DZ38"/>
    <mergeCell ref="EC38:EM38"/>
    <mergeCell ref="P38:Z38"/>
    <mergeCell ref="EC29:EM29"/>
    <mergeCell ref="EP29:EZ29"/>
    <mergeCell ref="FC29:FM29"/>
    <mergeCell ref="CP29:CZ29"/>
    <mergeCell ref="IC30:IM30"/>
    <mergeCell ref="EP31:EZ31"/>
    <mergeCell ref="GC32:GM32"/>
    <mergeCell ref="HP31:HZ31"/>
    <mergeCell ref="HP30:HZ30"/>
    <mergeCell ref="HC31:HM31"/>
    <mergeCell ref="DP31:DZ31"/>
    <mergeCell ref="EC31:EM31"/>
    <mergeCell ref="GP32:GZ32"/>
    <mergeCell ref="EC30:EM30"/>
    <mergeCell ref="EP30:EZ30"/>
    <mergeCell ref="DP32:DZ32"/>
    <mergeCell ref="EC32:EM32"/>
    <mergeCell ref="EP32:EZ32"/>
    <mergeCell ref="FC32:FM32"/>
    <mergeCell ref="FP32:FZ32"/>
    <mergeCell ref="FC30:FM30"/>
    <mergeCell ref="FC31:FM31"/>
    <mergeCell ref="FP31:FZ31"/>
    <mergeCell ref="GC31:GM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FP30:FZ30"/>
    <mergeCell ref="GC30:GM30"/>
    <mergeCell ref="BP31:BZ31"/>
    <mergeCell ref="CC31:CM31"/>
    <mergeCell ref="DC32:DM32"/>
    <mergeCell ref="BP32:BZ32"/>
    <mergeCell ref="CP31:CZ31"/>
    <mergeCell ref="CC32:CM32"/>
    <mergeCell ref="DC39:DM39"/>
    <mergeCell ref="DC38:DM38"/>
    <mergeCell ref="DC31:DM31"/>
    <mergeCell ref="BP38:BZ38"/>
    <mergeCell ref="CC38:CM38"/>
    <mergeCell ref="CP38:CZ38"/>
    <mergeCell ref="AC38:AM38"/>
    <mergeCell ref="AP38:AZ38"/>
    <mergeCell ref="HP38:HZ38"/>
    <mergeCell ref="GC38:GM38"/>
    <mergeCell ref="GP38:GZ38"/>
    <mergeCell ref="HC38:HM38"/>
    <mergeCell ref="IC38:IM38"/>
    <mergeCell ref="AC39:AM39"/>
    <mergeCell ref="DP39:DZ39"/>
    <mergeCell ref="BC39:BM39"/>
    <mergeCell ref="BC38:BM38"/>
    <mergeCell ref="IP39:IV39"/>
    <mergeCell ref="EP39:EZ39"/>
    <mergeCell ref="FC39:FM39"/>
    <mergeCell ref="FP39:FZ39"/>
    <mergeCell ref="GP39:GZ39"/>
    <mergeCell ref="HP39:HZ39"/>
    <mergeCell ref="AP40:AZ40"/>
    <mergeCell ref="HC39:HM39"/>
    <mergeCell ref="IP40:IV40"/>
    <mergeCell ref="IC40:IM40"/>
    <mergeCell ref="IC39:IM39"/>
    <mergeCell ref="EC39:EM39"/>
    <mergeCell ref="GC39:GM39"/>
    <mergeCell ref="BP39:BZ39"/>
    <mergeCell ref="CC39:CM39"/>
    <mergeCell ref="CP39:CZ39"/>
    <mergeCell ref="P39:Z39"/>
    <mergeCell ref="P40:Z40"/>
    <mergeCell ref="AP39:AZ39"/>
    <mergeCell ref="HP40:HZ40"/>
    <mergeCell ref="EC40:EM40"/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BP40:BZ40"/>
    <mergeCell ref="CC40:CM40"/>
    <mergeCell ref="C45:M45"/>
    <mergeCell ref="DC40:DM40"/>
    <mergeCell ref="EP40:EZ40"/>
    <mergeCell ref="C44:M44"/>
    <mergeCell ref="DP40:DZ40"/>
    <mergeCell ref="CP40:CZ40"/>
    <mergeCell ref="C43:M43"/>
    <mergeCell ref="BC40:BM40"/>
    <mergeCell ref="C41:M41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2018-09-26T11:41:53Z</cp:lastPrinted>
  <dcterms:created xsi:type="dcterms:W3CDTF">1997-12-04T19:04:30Z</dcterms:created>
  <dcterms:modified xsi:type="dcterms:W3CDTF">2018-12-03T19:15:39Z</dcterms:modified>
</cp:coreProperties>
</file>