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2585" yWindow="-15" windowWidth="12630" windowHeight="123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9" i="12" l="1"/>
  <c r="C37" i="12"/>
  <c r="C21" i="12"/>
  <c r="C20" i="12"/>
  <c r="C19" i="12"/>
  <c r="C12" i="12"/>
  <c r="C11" i="12"/>
  <c r="C10" i="12"/>
  <c r="B12" i="12"/>
  <c r="B21" i="12"/>
  <c r="B39" i="12"/>
  <c r="B38" i="12"/>
  <c r="B37" i="12"/>
  <c r="B19" i="12"/>
  <c r="B20" i="12"/>
  <c r="B11" i="12"/>
  <c r="H244" i="1"/>
  <c r="H226" i="1"/>
  <c r="H220" i="1"/>
  <c r="J604" i="1"/>
  <c r="I604" i="1"/>
  <c r="H604" i="1"/>
  <c r="G612" i="1"/>
  <c r="G613" i="1"/>
  <c r="G611" i="1"/>
  <c r="I611" i="1"/>
  <c r="I612" i="1"/>
  <c r="I613" i="1"/>
  <c r="F613" i="1"/>
  <c r="F612" i="1"/>
  <c r="F611" i="1"/>
  <c r="J595" i="1"/>
  <c r="H582" i="1"/>
  <c r="F582" i="1"/>
  <c r="G582" i="1"/>
  <c r="G568" i="1"/>
  <c r="G567" i="1"/>
  <c r="I568" i="1"/>
  <c r="F568" i="1"/>
  <c r="F567" i="1"/>
  <c r="G563" i="1"/>
  <c r="G564" i="1"/>
  <c r="G562" i="1"/>
  <c r="I564" i="1"/>
  <c r="G532" i="1"/>
  <c r="G533" i="1"/>
  <c r="G531" i="1"/>
  <c r="I533" i="1" l="1"/>
  <c r="I532" i="1"/>
  <c r="I531" i="1"/>
  <c r="H533" i="1"/>
  <c r="H532" i="1"/>
  <c r="H531" i="1"/>
  <c r="F533" i="1"/>
  <c r="F532" i="1"/>
  <c r="F531" i="1"/>
  <c r="H240" i="1"/>
  <c r="H239" i="1"/>
  <c r="H221" i="1"/>
  <c r="H203" i="1"/>
  <c r="I238" i="1" l="1"/>
  <c r="I220" i="1"/>
  <c r="I202" i="1"/>
  <c r="H238" i="1"/>
  <c r="H202" i="1"/>
  <c r="I234" i="1"/>
  <c r="I216" i="1"/>
  <c r="I198" i="1"/>
  <c r="H234" i="1"/>
  <c r="H216" i="1"/>
  <c r="H198" i="1"/>
  <c r="F238" i="1" l="1"/>
  <c r="F220" i="1"/>
  <c r="F202" i="1"/>
  <c r="F234" i="1"/>
  <c r="F216" i="1"/>
  <c r="F198" i="1"/>
  <c r="J360" i="1" l="1"/>
  <c r="J359" i="1"/>
  <c r="J358" i="1"/>
  <c r="K360" i="1"/>
  <c r="K359" i="1"/>
  <c r="K358" i="1"/>
  <c r="G358" i="1" l="1"/>
  <c r="G359" i="1"/>
  <c r="G360" i="1"/>
  <c r="F360" i="1"/>
  <c r="F359" i="1"/>
  <c r="F358" i="1"/>
  <c r="G233" i="1" l="1"/>
  <c r="G251" i="1"/>
  <c r="G245" i="1"/>
  <c r="G243" i="1"/>
  <c r="G242" i="1"/>
  <c r="G241" i="1"/>
  <c r="G240" i="1"/>
  <c r="G239" i="1"/>
  <c r="G238" i="1"/>
  <c r="G236" i="1"/>
  <c r="G234" i="1"/>
  <c r="G227" i="1"/>
  <c r="G225" i="1"/>
  <c r="G224" i="1"/>
  <c r="G223" i="1"/>
  <c r="G222" i="1"/>
  <c r="G221" i="1"/>
  <c r="G220" i="1"/>
  <c r="G218" i="1"/>
  <c r="G216" i="1"/>
  <c r="G215" i="1"/>
  <c r="G209" i="1"/>
  <c r="G207" i="1"/>
  <c r="G206" i="1"/>
  <c r="G205" i="1"/>
  <c r="G204" i="1"/>
  <c r="G203" i="1"/>
  <c r="G202" i="1"/>
  <c r="G200" i="1"/>
  <c r="G198" i="1"/>
  <c r="G197" i="1"/>
  <c r="J320" i="1" l="1"/>
  <c r="I320" i="1"/>
  <c r="J301" i="1"/>
  <c r="I301" i="1"/>
  <c r="J282" i="1"/>
  <c r="I282" i="1"/>
  <c r="G276" i="1"/>
  <c r="G333" i="1"/>
  <c r="J333" i="1"/>
  <c r="I333" i="1"/>
  <c r="I314" i="1"/>
  <c r="J277" i="1"/>
  <c r="I277" i="1"/>
  <c r="J276" i="1"/>
  <c r="I276" i="1"/>
  <c r="H282" i="1"/>
  <c r="F319" i="1"/>
  <c r="F333" i="1"/>
  <c r="F315" i="1"/>
  <c r="F296" i="1"/>
  <c r="F281" i="1"/>
  <c r="F277" i="1"/>
  <c r="F276" i="1"/>
  <c r="J245" i="1" l="1"/>
  <c r="I245" i="1"/>
  <c r="H245" i="1"/>
  <c r="K243" i="1"/>
  <c r="J243" i="1"/>
  <c r="I243" i="1"/>
  <c r="H243" i="1"/>
  <c r="H242" i="1"/>
  <c r="H241" i="1"/>
  <c r="K240" i="1"/>
  <c r="J240" i="1"/>
  <c r="I240" i="1"/>
  <c r="K239" i="1"/>
  <c r="J239" i="1"/>
  <c r="I239" i="1"/>
  <c r="I251" i="1"/>
  <c r="J236" i="1"/>
  <c r="I236" i="1"/>
  <c r="K234" i="1"/>
  <c r="J233" i="1"/>
  <c r="I233" i="1"/>
  <c r="H233" i="1"/>
  <c r="J227" i="1"/>
  <c r="I227" i="1"/>
  <c r="H227" i="1"/>
  <c r="K225" i="1"/>
  <c r="J225" i="1"/>
  <c r="I225" i="1"/>
  <c r="H225" i="1"/>
  <c r="H224" i="1"/>
  <c r="H223" i="1"/>
  <c r="K222" i="1"/>
  <c r="J222" i="1"/>
  <c r="I222" i="1"/>
  <c r="H222" i="1"/>
  <c r="K221" i="1"/>
  <c r="J221" i="1"/>
  <c r="I221" i="1"/>
  <c r="J218" i="1"/>
  <c r="I218" i="1"/>
  <c r="K216" i="1"/>
  <c r="J215" i="1"/>
  <c r="I215" i="1"/>
  <c r="H215" i="1"/>
  <c r="J209" i="1"/>
  <c r="I209" i="1"/>
  <c r="H209" i="1"/>
  <c r="H208" i="1"/>
  <c r="K207" i="1"/>
  <c r="J207" i="1"/>
  <c r="I207" i="1"/>
  <c r="H207" i="1"/>
  <c r="H206" i="1"/>
  <c r="H205" i="1"/>
  <c r="K204" i="1"/>
  <c r="J204" i="1"/>
  <c r="I204" i="1"/>
  <c r="H204" i="1"/>
  <c r="K203" i="1"/>
  <c r="J203" i="1"/>
  <c r="I203" i="1"/>
  <c r="I200" i="1"/>
  <c r="K198" i="1"/>
  <c r="J197" i="1"/>
  <c r="I197" i="1"/>
  <c r="H235" i="1" l="1"/>
  <c r="I241" i="1"/>
  <c r="K241" i="1"/>
  <c r="K238" i="1"/>
  <c r="H251" i="1"/>
  <c r="K236" i="1"/>
  <c r="H236" i="1"/>
  <c r="J234" i="1"/>
  <c r="K233" i="1"/>
  <c r="K223" i="1"/>
  <c r="I223" i="1"/>
  <c r="K220" i="1"/>
  <c r="K218" i="1"/>
  <c r="H218" i="1"/>
  <c r="J216" i="1"/>
  <c r="K205" i="1"/>
  <c r="K202" i="1"/>
  <c r="J198" i="1"/>
  <c r="H197" i="1"/>
  <c r="F245" i="1"/>
  <c r="F243" i="1"/>
  <c r="F242" i="1"/>
  <c r="F241" i="1"/>
  <c r="F240" i="1"/>
  <c r="F239" i="1"/>
  <c r="F251" i="1"/>
  <c r="F236" i="1"/>
  <c r="F233" i="1"/>
  <c r="F227" i="1"/>
  <c r="F225" i="1"/>
  <c r="F224" i="1"/>
  <c r="F222" i="1"/>
  <c r="F221" i="1"/>
  <c r="F218" i="1"/>
  <c r="F215" i="1"/>
  <c r="F209" i="1"/>
  <c r="F207" i="1"/>
  <c r="F206" i="1"/>
  <c r="F204" i="1"/>
  <c r="F203" i="1"/>
  <c r="F200" i="1"/>
  <c r="F197" i="1"/>
  <c r="F223" i="1" l="1"/>
  <c r="F205" i="1"/>
  <c r="F12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8" i="1" s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L250" i="1"/>
  <c r="L332" i="1"/>
  <c r="L254" i="1"/>
  <c r="L268" i="1"/>
  <c r="C142" i="2" s="1"/>
  <c r="L269" i="1"/>
  <c r="L349" i="1"/>
  <c r="L350" i="1"/>
  <c r="I665" i="1"/>
  <c r="I670" i="1"/>
  <c r="G662" i="1"/>
  <c r="H662" i="1"/>
  <c r="I669" i="1"/>
  <c r="C42" i="10"/>
  <c r="C32" i="10"/>
  <c r="L374" i="1"/>
  <c r="L375" i="1"/>
  <c r="L376" i="1"/>
  <c r="L377" i="1"/>
  <c r="L378" i="1"/>
  <c r="L379" i="1"/>
  <c r="C29" i="10" s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D115" i="2"/>
  <c r="F115" i="2"/>
  <c r="G115" i="2"/>
  <c r="E119" i="2"/>
  <c r="E120" i="2"/>
  <c r="E121" i="2"/>
  <c r="E123" i="2"/>
  <c r="E124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G338" i="1" s="1"/>
  <c r="G352" i="1" s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 s="1"/>
  <c r="F408" i="1"/>
  <c r="G408" i="1"/>
  <c r="H645" i="1" s="1"/>
  <c r="H408" i="1"/>
  <c r="H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461" i="1"/>
  <c r="F470" i="1"/>
  <c r="G470" i="1"/>
  <c r="H470" i="1"/>
  <c r="I470" i="1"/>
  <c r="I476" i="1" s="1"/>
  <c r="H625" i="1" s="1"/>
  <c r="J625" i="1" s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G641" i="1"/>
  <c r="H641" i="1"/>
  <c r="G643" i="1"/>
  <c r="H643" i="1"/>
  <c r="G644" i="1"/>
  <c r="J644" i="1" s="1"/>
  <c r="G645" i="1"/>
  <c r="G650" i="1"/>
  <c r="G651" i="1"/>
  <c r="G652" i="1"/>
  <c r="H652" i="1"/>
  <c r="G653" i="1"/>
  <c r="H653" i="1"/>
  <c r="G654" i="1"/>
  <c r="H654" i="1"/>
  <c r="H655" i="1"/>
  <c r="L351" i="1"/>
  <c r="A31" i="12"/>
  <c r="C70" i="2"/>
  <c r="A40" i="12"/>
  <c r="D18" i="13"/>
  <c r="C18" i="13" s="1"/>
  <c r="D17" i="13"/>
  <c r="C17" i="13" s="1"/>
  <c r="F78" i="2"/>
  <c r="F81" i="2" s="1"/>
  <c r="D50" i="2"/>
  <c r="G157" i="2"/>
  <c r="D91" i="2"/>
  <c r="G62" i="2"/>
  <c r="D19" i="13"/>
  <c r="C19" i="13" s="1"/>
  <c r="E78" i="2"/>
  <c r="E81" i="2" s="1"/>
  <c r="L427" i="1"/>
  <c r="H112" i="1"/>
  <c r="J641" i="1"/>
  <c r="J571" i="1"/>
  <c r="D81" i="2"/>
  <c r="I169" i="1"/>
  <c r="J643" i="1"/>
  <c r="J140" i="1"/>
  <c r="I552" i="1"/>
  <c r="G22" i="2"/>
  <c r="H140" i="1"/>
  <c r="L401" i="1"/>
  <c r="C139" i="2" s="1"/>
  <c r="L393" i="1"/>
  <c r="C138" i="2" s="1"/>
  <c r="F22" i="13"/>
  <c r="L560" i="1"/>
  <c r="L309" i="1"/>
  <c r="J655" i="1"/>
  <c r="G36" i="2"/>
  <c r="C22" i="13"/>
  <c r="K545" i="1" l="1"/>
  <c r="F552" i="1"/>
  <c r="J651" i="1"/>
  <c r="K605" i="1"/>
  <c r="G648" i="1" s="1"/>
  <c r="L614" i="1"/>
  <c r="K598" i="1"/>
  <c r="G647" i="1" s="1"/>
  <c r="H571" i="1"/>
  <c r="L570" i="1"/>
  <c r="F571" i="1"/>
  <c r="I571" i="1"/>
  <c r="L565" i="1"/>
  <c r="K551" i="1"/>
  <c r="G552" i="1"/>
  <c r="G545" i="1"/>
  <c r="K549" i="1"/>
  <c r="I545" i="1"/>
  <c r="H545" i="1"/>
  <c r="L534" i="1"/>
  <c r="H552" i="1"/>
  <c r="K550" i="1"/>
  <c r="L529" i="1"/>
  <c r="L524" i="1"/>
  <c r="G164" i="2"/>
  <c r="G161" i="2"/>
  <c r="G156" i="2"/>
  <c r="J476" i="1"/>
  <c r="H626" i="1" s="1"/>
  <c r="H476" i="1"/>
  <c r="H624" i="1" s="1"/>
  <c r="J624" i="1" s="1"/>
  <c r="F476" i="1"/>
  <c r="H622" i="1" s="1"/>
  <c r="L419" i="1"/>
  <c r="J645" i="1"/>
  <c r="F130" i="2"/>
  <c r="F144" i="2" s="1"/>
  <c r="F145" i="2" s="1"/>
  <c r="L382" i="1"/>
  <c r="G636" i="1" s="1"/>
  <c r="J636" i="1" s="1"/>
  <c r="J634" i="1"/>
  <c r="H661" i="1"/>
  <c r="L362" i="1"/>
  <c r="G661" i="1"/>
  <c r="D29" i="13"/>
  <c r="C29" i="13" s="1"/>
  <c r="L256" i="1"/>
  <c r="C119" i="2"/>
  <c r="L290" i="1"/>
  <c r="E118" i="2"/>
  <c r="E128" i="2" s="1"/>
  <c r="F338" i="1"/>
  <c r="F352" i="1" s="1"/>
  <c r="C26" i="10"/>
  <c r="H25" i="13"/>
  <c r="E16" i="13"/>
  <c r="C125" i="2"/>
  <c r="D7" i="13"/>
  <c r="C7" i="13" s="1"/>
  <c r="C109" i="2"/>
  <c r="H647" i="1"/>
  <c r="J647" i="1" s="1"/>
  <c r="C17" i="10"/>
  <c r="C12" i="10"/>
  <c r="D5" i="13"/>
  <c r="C5" i="13" s="1"/>
  <c r="C123" i="2"/>
  <c r="D14" i="13"/>
  <c r="C14" i="13" s="1"/>
  <c r="G257" i="1"/>
  <c r="G271" i="1" s="1"/>
  <c r="C118" i="2"/>
  <c r="K257" i="1"/>
  <c r="K271" i="1" s="1"/>
  <c r="J257" i="1"/>
  <c r="J271" i="1" s="1"/>
  <c r="D15" i="13"/>
  <c r="C15" i="13" s="1"/>
  <c r="G649" i="1"/>
  <c r="J649" i="1" s="1"/>
  <c r="I257" i="1"/>
  <c r="I271" i="1" s="1"/>
  <c r="H257" i="1"/>
  <c r="H271" i="1" s="1"/>
  <c r="E8" i="13"/>
  <c r="C8" i="13" s="1"/>
  <c r="C16" i="10"/>
  <c r="E13" i="13"/>
  <c r="C13" i="13" s="1"/>
  <c r="C121" i="2"/>
  <c r="L247" i="1"/>
  <c r="H660" i="1" s="1"/>
  <c r="F257" i="1"/>
  <c r="F271" i="1" s="1"/>
  <c r="L229" i="1"/>
  <c r="C20" i="10"/>
  <c r="L211" i="1"/>
  <c r="F660" i="1" s="1"/>
  <c r="C18" i="10"/>
  <c r="D6" i="13"/>
  <c r="C6" i="13" s="1"/>
  <c r="F192" i="1"/>
  <c r="F112" i="1"/>
  <c r="C35" i="10"/>
  <c r="J640" i="1"/>
  <c r="I446" i="1"/>
  <c r="G642" i="1" s="1"/>
  <c r="F18" i="2"/>
  <c r="H52" i="1"/>
  <c r="H619" i="1" s="1"/>
  <c r="J619" i="1" s="1"/>
  <c r="J623" i="1"/>
  <c r="D31" i="2"/>
  <c r="D18" i="2"/>
  <c r="J622" i="1"/>
  <c r="J617" i="1"/>
  <c r="C18" i="2"/>
  <c r="J639" i="1"/>
  <c r="K500" i="1"/>
  <c r="C78" i="2"/>
  <c r="C81" i="2" s="1"/>
  <c r="C16" i="13"/>
  <c r="K503" i="1"/>
  <c r="E109" i="2"/>
  <c r="E115" i="2" s="1"/>
  <c r="C62" i="2"/>
  <c r="C63" i="2" s="1"/>
  <c r="F661" i="1"/>
  <c r="C19" i="10"/>
  <c r="C15" i="10"/>
  <c r="J338" i="1"/>
  <c r="J352" i="1" s="1"/>
  <c r="D127" i="2"/>
  <c r="D128" i="2" s="1"/>
  <c r="D145" i="2" s="1"/>
  <c r="C124" i="2"/>
  <c r="C120" i="2"/>
  <c r="C111" i="2"/>
  <c r="F662" i="1"/>
  <c r="I662" i="1" s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I663" i="1"/>
  <c r="C27" i="10"/>
  <c r="G635" i="1"/>
  <c r="J635" i="1" s="1"/>
  <c r="L571" i="1" l="1"/>
  <c r="K552" i="1"/>
  <c r="L545" i="1"/>
  <c r="H664" i="1"/>
  <c r="H672" i="1" s="1"/>
  <c r="C6" i="10" s="1"/>
  <c r="D31" i="13"/>
  <c r="C31" i="13" s="1"/>
  <c r="C25" i="13"/>
  <c r="H33" i="13"/>
  <c r="C115" i="2"/>
  <c r="C128" i="2"/>
  <c r="E33" i="13"/>
  <c r="D35" i="13" s="1"/>
  <c r="L257" i="1"/>
  <c r="L271" i="1" s="1"/>
  <c r="G632" i="1" s="1"/>
  <c r="J632" i="1" s="1"/>
  <c r="G660" i="1"/>
  <c r="G664" i="1" s="1"/>
  <c r="G667" i="1" s="1"/>
  <c r="C28" i="10"/>
  <c r="D23" i="10" s="1"/>
  <c r="G104" i="2"/>
  <c r="C104" i="2"/>
  <c r="F193" i="1"/>
  <c r="G627" i="1" s="1"/>
  <c r="J627" i="1" s="1"/>
  <c r="C36" i="10"/>
  <c r="H648" i="1"/>
  <c r="J648" i="1" s="1"/>
  <c r="L408" i="1"/>
  <c r="I661" i="1"/>
  <c r="F664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D33" i="13"/>
  <c r="D36" i="13" s="1"/>
  <c r="C145" i="2"/>
  <c r="G672" i="1"/>
  <c r="C5" i="10" s="1"/>
  <c r="I660" i="1"/>
  <c r="I664" i="1" s="1"/>
  <c r="I672" i="1" s="1"/>
  <c r="C7" i="10" s="1"/>
  <c r="D20" i="10"/>
  <c r="D13" i="10"/>
  <c r="D11" i="10"/>
  <c r="D25" i="10"/>
  <c r="D12" i="10"/>
  <c r="D18" i="10"/>
  <c r="D19" i="10"/>
  <c r="D17" i="10"/>
  <c r="D22" i="10"/>
  <c r="D27" i="10"/>
  <c r="D15" i="10"/>
  <c r="D21" i="10"/>
  <c r="D24" i="10"/>
  <c r="D10" i="10"/>
  <c r="D26" i="10"/>
  <c r="C30" i="10"/>
  <c r="D16" i="10"/>
  <c r="F672" i="1"/>
  <c r="C4" i="10" s="1"/>
  <c r="F667" i="1"/>
  <c r="G637" i="1"/>
  <c r="J637" i="1" s="1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<sst xmlns="http://schemas.openxmlformats.org/spreadsheetml/2006/main" count="3968" uniqueCount="924">
  <si>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</si>
  <si>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</si>
  <si>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</si>
  <si>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</si>
  <si>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</si>
  <si>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</si>
  <si>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</si>
  <si>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</si>
  <si>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</si>
  <si>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</si>
  <si>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</si>
  <si>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</si>
  <si>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</si>
  <si>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</si>
  <si>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</si>
  <si>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</si>
  <si>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</si>
  <si>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</si>
  <si>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</si>
  <si>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</si>
  <si>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</si>
  <si>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</si>
  <si>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</si>
  <si>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</si>
  <si>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</si>
  <si>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</si>
  <si>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</si>
  <si>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</si>
  <si>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</si>
  <si>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</si>
  <si>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</si>
  <si>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</si>
  <si>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</si>
  <si>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</si>
  <si>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</si>
  <si>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</si>
  <si>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</si>
  <si>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</si>
  <si>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</si>
  <si>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</si>
  <si>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</si>
  <si>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</si>
  <si>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</si>
  <si>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</si>
  <si>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</si>
  <si>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</si>
  <si>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</si>
  <si>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</si>
  <si>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</si>
  <si>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</si>
  <si>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</si>
  <si>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</si>
  <si>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</si>
  <si>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</si>
  <si>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</si>
  <si>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</si>
  <si>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</si>
  <si>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</si>
  <si>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</si>
  <si>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</si>
  <si>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</si>
  <si>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</si>
  <si>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</si>
  <si>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</si>
  <si>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</si>
  <si>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</si>
  <si>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</si>
  <si>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</si>
  <si>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</si>
  <si>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</si>
  <si>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</si>
  <si>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</si>
  <si>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</si>
  <si>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</si>
  <si>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</si>
  <si>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</si>
  <si>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</si>
  <si>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</si>
  <si>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</si>
  <si>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</si>
  <si>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</si>
  <si>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</si>
  <si>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</si>
  <si>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</si>
  <si>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</si>
  <si>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</si>
  <si>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</si>
  <si>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</si>
  <si>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</si>
  <si>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</si>
  <si>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</si>
  <si>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</si>
  <si>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</si>
  <si>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</si>
  <si>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</si>
  <si>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</si>
  <si>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</si>
  <si>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</si>
  <si>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</si>
  <si>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</si>
  <si>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</si>
  <si>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</si>
  <si>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</si>
  <si>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</si>
  <si>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</si>
  <si>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</si>
  <si>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</si>
  <si>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</si>
  <si>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</si>
  <si>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</si>
  <si>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</si>
  <si>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</si>
  <si>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</si>
  <si>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</si>
  <si>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</si>
  <si>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</si>
  <si>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</si>
  <si>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</si>
  <si>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</si>
  <si>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</si>
  <si>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</si>
  <si>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</si>
  <si>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</si>
  <si>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</si>
  <si>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</si>
  <si>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</si>
  <si>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</si>
  <si>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</si>
  <si>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</si>
  <si>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</si>
  <si>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</si>
  <si>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</si>
  <si>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</si>
  <si>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</si>
  <si>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</si>
  <si>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</si>
  <si>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</si>
  <si>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</si>
  <si>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</si>
  <si>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</si>
  <si>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</si>
  <si>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</si>
  <si>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</si>
  <si>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</si>
  <si>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</si>
  <si>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</si>
  <si>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</si>
  <si>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</si>
  <si>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</si>
  <si>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</si>
  <si>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</si>
  <si>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</si>
  <si>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</si>
  <si>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</si>
  <si>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</si>
  <si>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</si>
  <si>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</si>
  <si>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</si>
  <si>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</si>
  <si>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</si>
  <si>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</si>
  <si>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</si>
  <si>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</si>
  <si>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</si>
  <si>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</si>
  <si>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</si>
  <si>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</si>
  <si>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</si>
  <si>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</si>
  <si>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</si>
  <si>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</si>
  <si>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</si>
  <si>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</si>
  <si>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</si>
  <si>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</si>
  <si>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</si>
  <si>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</si>
  <si>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</si>
  <si>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</si>
  <si>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</si>
  <si>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</si>
  <si>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</si>
  <si>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</si>
  <si>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</si>
  <si>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</si>
  <si>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</si>
  <si>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</si>
  <si>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</si>
  <si>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</si>
  <si>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</si>
  <si>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</si>
  <si>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</si>
  <si>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</si>
  <si>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</si>
  <si>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</si>
  <si>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</si>
  <si>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</si>
  <si>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</si>
  <si>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</si>
  <si>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</si>
  <si>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</si>
  <si>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</si>
  <si>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</si>
  <si>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</si>
  <si>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</si>
  <si>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</si>
  <si>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</si>
  <si>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</si>
  <si>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</si>
  <si>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</si>
  <si>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</si>
  <si>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</si>
  <si>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</si>
  <si>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</si>
  <si>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</si>
  <si>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</si>
  <si>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</si>
  <si>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</si>
  <si>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</si>
  <si>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</si>
  <si>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</si>
  <si>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</si>
  <si>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</si>
  <si>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</si>
  <si>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</si>
  <si>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</si>
  <si>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</si>
  <si>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</si>
  <si>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</si>
  <si>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</si>
  <si>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</si>
  <si>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</si>
  <si>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</si>
  <si>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</si>
  <si>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</si>
  <si>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</si>
  <si>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</si>
  <si>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</si>
  <si>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</si>
  <si>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</si>
  <si>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</si>
  <si>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</si>
  <si>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</si>
  <si>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</si>
  <si>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</si>
  <si>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</si>
  <si>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</si>
  <si>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</si>
  <si>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</si>
  <si>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</si>
  <si>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</si>
  <si>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</si>
  <si>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</si>
  <si>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</si>
  <si>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</si>
  <si>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</si>
  <si>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</si>
  <si>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</si>
  <si>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</si>
  <si>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</si>
  <si>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</si>
  <si>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</si>
  <si>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</si>
  <si>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</si>
  <si>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</si>
  <si>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</si>
  <si>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</si>
  <si>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</si>
  <si>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</si>
  <si>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</si>
  <si>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</si>
  <si>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</si>
  <si>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</si>
  <si>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</si>
  <si>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</si>
  <si>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</si>
  <si>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</si>
  <si>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</si>
  <si>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</si>
  <si>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</si>
  <si>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</si>
  <si>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</si>
  <si>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</si>
  <si>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</si>
  <si>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</si>
  <si>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</si>
  <si>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</si>
  <si>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</si>
  <si>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</si>
  <si>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</si>
  <si>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</si>
  <si>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</si>
  <si>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</si>
  <si>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</si>
  <si>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</si>
  <si>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</si>
  <si>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</si>
  <si>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</si>
  <si>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</si>
  <si>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</si>
  <si>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</si>
  <si>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</si>
  <si>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</si>
  <si>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</si>
  <si>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</si>
  <si>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</si>
  <si>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</si>
  <si>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</si>
  <si>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</si>
  <si>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</si>
  <si>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</si>
  <si>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</si>
  <si>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</si>
  <si>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</si>
  <si>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</si>
  <si>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</si>
  <si>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</si>
  <si>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</si>
  <si>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</si>
  <si>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</si>
  <si>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</si>
  <si>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</si>
  <si>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</si>
  <si>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</si>
  <si>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</si>
  <si>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</si>
  <si>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</si>
  <si>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</si>
  <si>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</si>
  <si>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</si>
  <si>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</si>
  <si>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</si>
  <si>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</si>
  <si>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</si>
  <si>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</si>
  <si>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</si>
  <si>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</si>
  <si>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</si>
  <si>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</si>
  <si>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</si>
  <si>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</si>
  <si>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</si>
  <si>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</si>
  <si>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</si>
  <si>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</si>
  <si>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</si>
  <si>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</si>
  <si>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</si>
  <si>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</si>
  <si>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</si>
  <si>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</si>
  <si>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</si>
  <si>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</si>
  <si>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</si>
  <si>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</si>
  <si>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</si>
  <si>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</si>
  <si>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</si>
  <si>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</si>
  <si>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</si>
  <si>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</si>
  <si>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</si>
  <si>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</si>
  <si>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</si>
  <si>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</si>
  <si>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</si>
  <si>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</si>
  <si>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</si>
  <si>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</si>
  <si>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</si>
  <si>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</si>
  <si>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</si>
  <si>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</si>
  <si>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</si>
  <si>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</si>
  <si>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</si>
  <si>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</si>
  <si>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</si>
  <si>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</si>
  <si>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</si>
  <si>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</si>
  <si>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</si>
  <si>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</si>
  <si>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</si>
  <si>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</si>
  <si>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</si>
  <si>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</si>
  <si>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</si>
  <si>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</si>
  <si>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</si>
  <si>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</si>
  <si>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</si>
  <si>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</si>
  <si>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</si>
  <si>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</si>
  <si>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</si>
  <si>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</si>
  <si>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</si>
  <si>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</si>
  <si>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</si>
  <si>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</si>
  <si>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</si>
  <si>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</si>
  <si>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</si>
  <si>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</si>
  <si>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</si>
  <si>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</si>
  <si>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</si>
  <si>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</si>
  <si>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</si>
  <si>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</si>
  <si>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</si>
  <si>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</si>
  <si>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</si>
  <si>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</si>
  <si>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</si>
  <si>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</si>
  <si>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</si>
  <si>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</si>
  <si>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</si>
  <si>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</si>
  <si>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</si>
  <si>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</si>
  <si>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</si>
  <si>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</si>
  <si>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</si>
  <si>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</si>
  <si>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</si>
  <si>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</si>
  <si>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</si>
  <si>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</si>
  <si>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</si>
  <si>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</si>
  <si>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</si>
  <si>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</si>
  <si>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</si>
  <si>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</si>
  <si>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</si>
  <si>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</si>
  <si>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</si>
  <si>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</si>
  <si>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</si>
  <si>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</si>
  <si>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</si>
  <si>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</si>
  <si>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</si>
  <si>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</si>
  <si>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</si>
  <si>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</si>
  <si>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</si>
  <si>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</si>
  <si>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</si>
  <si>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</si>
  <si>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</si>
  <si>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</si>
  <si>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</si>
  <si>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</si>
  <si>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</si>
  <si>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</si>
  <si>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</si>
  <si>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</si>
  <si>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</si>
  <si>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</si>
  <si>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</si>
  <si>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</si>
  <si>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</si>
  <si>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</si>
  <si>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</si>
  <si>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</si>
  <si>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</si>
  <si>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</si>
  <si>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</si>
  <si>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</si>
  <si>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</si>
  <si>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</si>
  <si>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</si>
  <si>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</si>
  <si>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</si>
  <si>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</si>
  <si>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</si>
  <si>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</si>
  <si>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</si>
  <si>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</si>
  <si>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</si>
  <si>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</si>
  <si>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</si>
  <si>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</si>
  <si>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</si>
  <si>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</si>
  <si>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</si>
  <si>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</si>
  <si>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</si>
  <si>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</si>
  <si>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</si>
  <si>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</si>
  <si>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</si>
  <si>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</si>
  <si>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</si>
  <si>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</si>
  <si>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</si>
  <si>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</si>
  <si>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</si>
  <si>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</si>
  <si>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</si>
  <si>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</si>
  <si>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</si>
  <si>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</si>
  <si>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</si>
  <si>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</si>
  <si>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</si>
  <si>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</si>
  <si>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</si>
  <si>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</si>
  <si>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</si>
  <si>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</si>
  <si>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</si>
  <si>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</si>
  <si>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</si>
  <si>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</si>
  <si>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</si>
  <si>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</si>
  <si>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</si>
  <si>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</si>
  <si>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</si>
  <si>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</si>
  <si>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</si>
  <si>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</si>
  <si>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</si>
  <si>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</si>
  <si>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</si>
  <si>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</si>
  <si>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</si>
  <si>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</si>
  <si>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</si>
  <si>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</si>
  <si>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</si>
  <si>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</si>
  <si>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</si>
  <si>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</si>
  <si>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</si>
  <si>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</si>
  <si>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</si>
  <si>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</si>
  <si>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</si>
  <si>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</si>
  <si>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</si>
  <si>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</si>
  <si>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</si>
  <si>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</si>
  <si>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</si>
  <si>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</si>
  <si>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</si>
  <si>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</si>
  <si>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</si>
  <si>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</si>
  <si>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</si>
  <si>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</si>
  <si>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</si>
  <si>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</si>
  <si>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</si>
  <si>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</si>
  <si>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</si>
  <si>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</si>
  <si>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</si>
  <si>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</si>
  <si>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</si>
  <si>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</si>
  <si>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</si>
  <si>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</si>
  <si>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</si>
  <si>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</si>
  <si>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</si>
  <si>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</si>
  <si>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</si>
  <si>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</si>
  <si>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</si>
  <si>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</si>
  <si>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</si>
  <si>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</si>
  <si>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</si>
  <si>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</si>
  <si>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</si>
  <si>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</si>
  <si>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</si>
  <si>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</si>
  <si>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</si>
  <si>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</si>
  <si>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</si>
  <si>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</si>
  <si>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</si>
  <si>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</si>
  <si>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</si>
  <si>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</si>
  <si>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</si>
  <si>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</si>
  <si>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</si>
  <si>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</si>
  <si>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</si>
  <si>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</si>
  <si>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</si>
  <si>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</si>
  <si>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</si>
  <si>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</si>
  <si>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</si>
  <si>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</si>
  <si>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</si>
  <si>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</si>
  <si>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</si>
  <si>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</si>
  <si>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</si>
  <si>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</si>
  <si>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</si>
  <si>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</si>
  <si>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</si>
  <si>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</si>
  <si>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</si>
  <si>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</si>
  <si>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</si>
  <si>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</si>
  <si>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</si>
  <si>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</si>
  <si>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</si>
  <si>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</si>
  <si>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</si>
  <si>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</si>
  <si>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</si>
  <si>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</si>
  <si>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</si>
  <si>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</si>
  <si>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</si>
  <si>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</si>
  <si>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</si>
  <si>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</si>
  <si>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</si>
  <si>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</si>
  <si>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</si>
  <si>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</si>
  <si>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</si>
  <si>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</si>
  <si>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</si>
  <si>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</si>
  <si>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</si>
  <si>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</si>
  <si>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</si>
  <si>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</si>
  <si>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</si>
  <si>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</si>
  <si>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</si>
  <si>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</si>
  <si>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</si>
  <si>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</si>
  <si>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</si>
  <si>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</si>
  <si>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</si>
  <si>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</si>
  <si>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</si>
  <si>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</si>
  <si>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</si>
  <si>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</si>
  <si>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</si>
  <si>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</si>
  <si>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</si>
  <si>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</si>
  <si>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</si>
  <si>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</si>
  <si>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</si>
  <si>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</si>
  <si>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</si>
  <si>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</si>
  <si>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</si>
  <si>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</si>
  <si>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</si>
  <si>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</si>
  <si>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</si>
  <si>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</si>
  <si>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</si>
  <si>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</si>
  <si>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</si>
  <si>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</si>
  <si>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</si>
  <si>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</si>
  <si>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</si>
  <si>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</si>
  <si>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</si>
  <si>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</si>
  <si>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</si>
  <si>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</si>
  <si>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</si>
  <si>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</si>
  <si>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</si>
  <si>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</si>
  <si>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</si>
  <si>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</si>
  <si>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</si>
  <si>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</si>
  <si>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</si>
  <si>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</si>
  <si>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</si>
  <si>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</si>
  <si>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</si>
  <si>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</si>
  <si>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</si>
  <si>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</si>
  <si>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</si>
  <si>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</si>
  <si>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</si>
  <si>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</si>
  <si>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</si>
  <si>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</si>
  <si>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</si>
  <si>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</si>
  <si>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</si>
  <si>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</si>
  <si>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</si>
  <si>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</si>
  <si>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</si>
  <si>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</si>
  <si>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</si>
  <si>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</si>
  <si>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</si>
  <si>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</si>
  <si>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</si>
  <si>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</si>
  <si>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</si>
  <si>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</si>
  <si>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</si>
  <si>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</si>
  <si>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</si>
  <si>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</si>
  <si>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</si>
  <si>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</si>
  <si>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</si>
  <si>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</si>
  <si>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</si>
  <si>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</si>
  <si>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</si>
  <si>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</si>
  <si>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</si>
  <si>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</si>
  <si>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</si>
  <si>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</si>
  <si>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</si>
  <si>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</si>
  <si>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</si>
  <si>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</si>
  <si>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</si>
  <si>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</si>
  <si>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</si>
  <si>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</si>
  <si>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</si>
  <si>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</si>
  <si>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</si>
  <si>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</si>
  <si>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</si>
  <si>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</si>
  <si>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</si>
  <si>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</si>
  <si>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</si>
  <si>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</si>
  <si>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</si>
  <si>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</si>
  <si>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</si>
  <si>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</si>
  <si>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</si>
  <si>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</si>
  <si>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</si>
  <si>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</si>
  <si>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</si>
  <si>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</si>
  <si>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</si>
  <si>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</si>
  <si>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</si>
  <si>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</si>
  <si>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</si>
  <si>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</si>
  <si>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</si>
  <si>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</si>
  <si>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</si>
  <si>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</si>
  <si>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</si>
  <si>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</si>
  <si>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</si>
  <si>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</si>
  <si>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</si>
  <si>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</si>
  <si>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</si>
  <si>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</si>
  <si>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</si>
  <si>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</si>
  <si>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</si>
  <si>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</si>
  <si>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</si>
  <si>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</si>
  <si>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</si>
  <si>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</si>
  <si>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</si>
  <si>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</si>
  <si>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</si>
  <si>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</si>
  <si>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</si>
  <si>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</si>
  <si>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</si>
  <si>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</si>
  <si>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</si>
  <si>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</si>
  <si>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</si>
  <si>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</si>
  <si>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</si>
  <si>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</si>
  <si>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</si>
  <si>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</si>
  <si>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</si>
  <si>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</si>
  <si>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</si>
  <si>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</si>
  <si>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</si>
  <si>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</si>
  <si>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</si>
  <si>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</si>
  <si>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</si>
  <si>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</si>
  <si>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</si>
  <si>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</si>
  <si>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</si>
  <si>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</si>
  <si>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</si>
  <si>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</si>
  <si>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</si>
  <si>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</si>
  <si>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</si>
  <si>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</si>
  <si>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</si>
  <si>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</si>
  <si>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</si>
  <si>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</si>
  <si>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</si>
  <si>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</si>
  <si>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</si>
  <si>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</si>
  <si>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</si>
  <si>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</si>
  <si>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</si>
  <si>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</si>
  <si>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</si>
  <si>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</si>
  <si>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</si>
  <si>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</si>
  <si>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</si>
  <si>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</si>
  <si>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</si>
  <si>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</si>
  <si>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</si>
  <si>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</si>
  <si>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</si>
  <si>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</si>
  <si>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</si>
  <si>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</si>
  <si>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</si>
  <si>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</si>
  <si>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</si>
  <si>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</si>
  <si>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</si>
  <si>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</si>
  <si>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</si>
  <si>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</si>
  <si>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</si>
  <si>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</si>
  <si>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</si>
  <si>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</si>
  <si>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</si>
  <si>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</si>
  <si>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</si>
  <si>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</si>
  <si>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</si>
  <si>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</si>
  <si>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</si>
  <si>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</si>
  <si>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</si>
  <si>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</si>
  <si>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</si>
  <si>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</si>
  <si>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</si>
  <si>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</si>
  <si>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</si>
  <si>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</si>
  <si>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</si>
  <si>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</si>
  <si>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</si>
  <si>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</si>
  <si>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</si>
  <si>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</si>
  <si>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</si>
  <si>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</si>
  <si>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</si>
  <si>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</si>
  <si>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</si>
  <si>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</si>
  <si>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</si>
  <si>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</si>
  <si>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</si>
  <si>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</si>
  <si>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</si>
  <si>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</si>
  <si>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</si>
  <si>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</si>
  <si>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</si>
  <si>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</si>
  <si>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</si>
  <si>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</si>
  <si>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</si>
  <si>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</si>
  <si>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</si>
  <si>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Londonderry School District</t>
  </si>
  <si>
    <t>04/02</t>
  </si>
  <si>
    <t>07/22</t>
  </si>
  <si>
    <t>05/2017</t>
  </si>
  <si>
    <t>07/2028</t>
  </si>
  <si>
    <t>07/08</t>
  </si>
  <si>
    <t>05/14</t>
  </si>
  <si>
    <t>08/25</t>
  </si>
  <si>
    <t>07/14</t>
  </si>
  <si>
    <t>07/24</t>
  </si>
  <si>
    <t>07/19</t>
  </si>
  <si>
    <t>20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</si>
</sst>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319</v>
      </c>
      <c r="C2" s="21">
        <v>319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2068319.08</v>
      </c>
      <c r="G9" s="18">
        <v>5900</v>
      </c>
      <c r="H9" s="18"/>
      <c r="I9" s="18"/>
      <c r="J9" s="67">
        <f>SUM(I439)</f>
        <v>341324.98000000004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220561.1</v>
      </c>
      <c r="G12" s="18">
        <v>88379.94</v>
      </c>
      <c r="H12" s="18">
        <v>394104.97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18867.740000000002</v>
      </c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17079</v>
      </c>
      <c r="G14" s="18">
        <v>31370.76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31950.9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47306.400000000001</v>
      </c>
      <c r="G17" s="18">
        <v>2955.9</v>
      </c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2353265.58</v>
      </c>
      <c r="G19" s="41">
        <f>SUM(G9:G18)</f>
        <v>179425.24</v>
      </c>
      <c r="H19" s="41">
        <f>SUM(H9:H18)</f>
        <v>394104.97</v>
      </c>
      <c r="I19" s="41">
        <f>SUM(I9:I18)</f>
        <v>0</v>
      </c>
      <c r="J19" s="41">
        <f>SUM(J9:J18)</f>
        <v>341324.98000000004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308941.03999999998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244754.72</v>
      </c>
      <c r="G24" s="18">
        <v>44898.45</v>
      </c>
      <c r="H24" s="18">
        <v>38.520000000000003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465551.37</v>
      </c>
      <c r="G28" s="18">
        <v>11149.93</v>
      </c>
      <c r="H28" s="18">
        <v>6764.95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177452.38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960</v>
      </c>
      <c r="G31" s="18"/>
      <c r="H31" s="18">
        <v>60171</v>
      </c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888718.47</v>
      </c>
      <c r="G32" s="41">
        <f>SUM(G22:G31)</f>
        <v>56048.38</v>
      </c>
      <c r="H32" s="41">
        <f>SUM(H22:H31)</f>
        <v>375915.51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31950.9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47306.400000000001</v>
      </c>
      <c r="G36" s="18">
        <v>2955.9</v>
      </c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203321</v>
      </c>
      <c r="G43" s="18"/>
      <c r="H43" s="18">
        <v>18189.46</v>
      </c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150000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802810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88470.06</v>
      </c>
      <c r="H48" s="18"/>
      <c r="I48" s="18"/>
      <c r="J48" s="13">
        <f>SUM(I459)</f>
        <v>341324.98000000004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261109.71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1464547.1099999999</v>
      </c>
      <c r="G51" s="41">
        <f>SUM(G35:G50)</f>
        <v>123376.86</v>
      </c>
      <c r="H51" s="41">
        <f>SUM(H35:H50)</f>
        <v>18189.46</v>
      </c>
      <c r="I51" s="41">
        <f>SUM(I35:I50)</f>
        <v>0</v>
      </c>
      <c r="J51" s="41">
        <f>SUM(J35:J50)</f>
        <v>341324.98000000004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2353265.58</v>
      </c>
      <c r="G52" s="41">
        <f>G51+G32</f>
        <v>179425.24</v>
      </c>
      <c r="H52" s="41">
        <f>H51+H32</f>
        <v>394104.97000000003</v>
      </c>
      <c r="I52" s="41">
        <f>I51+I32</f>
        <v>0</v>
      </c>
      <c r="J52" s="41">
        <f>J51+J32</f>
        <v>341324.98000000004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52645485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52645485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114575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18609.5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7725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841113.09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67500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1049522.5899999999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16611</v>
      </c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16611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12171.89</v>
      </c>
      <c r="G96" s="18">
        <v>85.55</v>
      </c>
      <c r="H96" s="18"/>
      <c r="I96" s="18"/>
      <c r="J96" s="18">
        <v>2637.35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1122535.81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22835.78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30197.5</v>
      </c>
      <c r="G99" s="18">
        <v>63960.91</v>
      </c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11745.18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>
        <v>800</v>
      </c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65822.53</v>
      </c>
      <c r="G110" s="18">
        <v>731.66</v>
      </c>
      <c r="H110" s="18">
        <v>10273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131027.7</v>
      </c>
      <c r="G111" s="41">
        <f>SUM(G96:G110)</f>
        <v>1188113.93</v>
      </c>
      <c r="H111" s="41">
        <f>SUM(H96:H110)</f>
        <v>22018.18</v>
      </c>
      <c r="I111" s="41">
        <f>SUM(I96:I110)</f>
        <v>0</v>
      </c>
      <c r="J111" s="41">
        <f>SUM(J96:J110)</f>
        <v>2637.35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53842646.290000007</v>
      </c>
      <c r="G112" s="41">
        <f>G60+G111</f>
        <v>1188113.93</v>
      </c>
      <c r="H112" s="41">
        <f>H60+H79+H94+H111</f>
        <v>22018.18</v>
      </c>
      <c r="I112" s="41">
        <f>I60+I111</f>
        <v>0</v>
      </c>
      <c r="J112" s="41">
        <f>J60+J111</f>
        <v>2637.35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11240123.34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6958849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10115.74+45910.17</f>
        <v>56025.909999999996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18254998.25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479694.5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254931.08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9187.5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19255.2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15300.95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763068.27999999991</v>
      </c>
      <c r="G136" s="41">
        <f>SUM(G123:G135)</f>
        <v>15300.95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19018066.530000001</v>
      </c>
      <c r="G140" s="41">
        <f>G121+SUM(G136:G137)</f>
        <v>15300.95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330185.40000000002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105182.2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44471.17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210682.5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1091963.21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490499.92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46673.47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490499.92</v>
      </c>
      <c r="G162" s="41">
        <f>SUM(G150:G161)</f>
        <v>257355.97</v>
      </c>
      <c r="H162" s="41">
        <f>SUM(H150:H161)</f>
        <v>1571801.98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490499.92</v>
      </c>
      <c r="G169" s="41">
        <f>G147+G162+SUM(G163:G168)</f>
        <v>257355.97</v>
      </c>
      <c r="H169" s="41">
        <f>H147+H162+SUM(H163:H168)</f>
        <v>1571801.98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56199.6</v>
      </c>
      <c r="H179" s="18"/>
      <c r="I179" s="18"/>
      <c r="J179" s="18">
        <v>775000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64364.53</v>
      </c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64364.53</v>
      </c>
      <c r="G183" s="41">
        <f>SUM(G179:G182)</f>
        <v>56199.6</v>
      </c>
      <c r="H183" s="41">
        <f>SUM(H179:H182)</f>
        <v>0</v>
      </c>
      <c r="I183" s="41">
        <f>SUM(I179:I182)</f>
        <v>0</v>
      </c>
      <c r="J183" s="41">
        <f>SUM(J179:J182)</f>
        <v>775000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108628.45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736465.99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845094.44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909458.97</v>
      </c>
      <c r="G192" s="41">
        <f>G183+SUM(G188:G191)</f>
        <v>56199.6</v>
      </c>
      <c r="H192" s="41">
        <f>+H183+SUM(H188:H191)</f>
        <v>0</v>
      </c>
      <c r="I192" s="41">
        <f>I177+I183+SUM(I188:I191)</f>
        <v>0</v>
      </c>
      <c r="J192" s="41">
        <f>J183</f>
        <v>775000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74260671.710000008</v>
      </c>
      <c r="G193" s="47">
        <f>G112+G140+G169+G192</f>
        <v>1516970.45</v>
      </c>
      <c r="H193" s="47">
        <f>H112+H140+H169+H192</f>
        <v>1593820.1599999999</v>
      </c>
      <c r="I193" s="47">
        <f>I112+I140+I169+I192</f>
        <v>0</v>
      </c>
      <c r="J193" s="47">
        <f>J112+J140+J192</f>
        <v>777637.35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6761082.22+206285.11</f>
        <v>6967367.3300000001</v>
      </c>
      <c r="G197" s="18">
        <f>3672111.52</f>
        <v>3672111.52</v>
      </c>
      <c r="H197" s="18">
        <f>920+181.5+380+738.59+179+78.84+78.84+78.85</f>
        <v>2635.6200000000003</v>
      </c>
      <c r="I197" s="18">
        <f>13132.29+29880.92+27329.33+23499.74+1014.72+12318.91+3214.9+26315.75+899.02+1887.96+12888.5+2222.85+20462.34+1005.79+1273.55+7480.26+2968.04+32434.94+1840.68+1793.26+7781.13+16616.54+69796.68+127889.57</f>
        <v>445947.67</v>
      </c>
      <c r="J197" s="18">
        <f>4221.72+3421.08+2983.54+2958.9+7946.12+495+10949.37</f>
        <v>32975.730000000003</v>
      </c>
      <c r="K197" s="18"/>
      <c r="L197" s="19">
        <f>SUM(F197:K197)</f>
        <v>11121037.869999999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265984.19+3597414+345924.2+161940.46</f>
        <v>4371262.8499999996</v>
      </c>
      <c r="G198" s="18">
        <f>2386562.42</f>
        <v>2386562.42</v>
      </c>
      <c r="H198" s="18">
        <f>353021+480+28188.84</f>
        <v>381689.84</v>
      </c>
      <c r="I198" s="18">
        <f>6329.45+3439.97+1021+1740.26+2077.65+2307.51+9957.47</f>
        <v>26873.309999999998</v>
      </c>
      <c r="J198" s="18">
        <f>1438.61+12111.37+849.27+3312.66</f>
        <v>17711.910000000003</v>
      </c>
      <c r="K198" s="18">
        <f>775+435+205+3078.5</f>
        <v>4493.5</v>
      </c>
      <c r="L198" s="19">
        <f>SUM(F198:K198)</f>
        <v>7188593.8299999991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37074.08+12546+16488.96+35479.48</f>
        <v>101588.52000000002</v>
      </c>
      <c r="G200" s="18">
        <f>50425.21</f>
        <v>50425.21</v>
      </c>
      <c r="H200" s="18"/>
      <c r="I200" s="18">
        <f>738.29</f>
        <v>738.29</v>
      </c>
      <c r="J200" s="18"/>
      <c r="K200" s="18"/>
      <c r="L200" s="19">
        <f>SUM(F200:K200)</f>
        <v>152752.02000000002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280775.23+264083.83+692610.68+955.75+784247.27</f>
        <v>2022672.7600000002</v>
      </c>
      <c r="G202" s="18">
        <f>1081436.21</f>
        <v>1081436.21</v>
      </c>
      <c r="H202" s="18">
        <f>73397.95</f>
        <v>73397.95</v>
      </c>
      <c r="I202" s="18">
        <f>832.74+593.71+489.61+2222.03+3284.84+1991.07+2482.19+25134.1</f>
        <v>37030.29</v>
      </c>
      <c r="J202" s="18"/>
      <c r="K202" s="18">
        <f>77</f>
        <v>77</v>
      </c>
      <c r="L202" s="19">
        <f t="shared" ref="L202:L208" si="0">SUM(F202:K202)</f>
        <v>3214614.2100000004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25201.78+280487.51+48150.14</f>
        <v>353839.43000000005</v>
      </c>
      <c r="G203" s="18">
        <f>147904.21+3845.92+175697.39</f>
        <v>327447.52</v>
      </c>
      <c r="H203" s="18">
        <f>8002.42</f>
        <v>8002.42</v>
      </c>
      <c r="I203" s="18">
        <f>1192.86+2292.61+2374.92+2339.2+2958.42+12777.84+10371.39+11560.18+200+60+100+100+3407.65</f>
        <v>49735.07</v>
      </c>
      <c r="J203" s="18">
        <f>2940.2</f>
        <v>2940.2</v>
      </c>
      <c r="K203" s="18">
        <f>813.56</f>
        <v>813.56</v>
      </c>
      <c r="L203" s="19">
        <f t="shared" si="0"/>
        <v>742778.20000000007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146104.71</f>
        <v>146104.71</v>
      </c>
      <c r="G204" s="18">
        <f>77943.47</f>
        <v>77943.47</v>
      </c>
      <c r="H204" s="18">
        <f>236766.02</f>
        <v>236766.02</v>
      </c>
      <c r="I204" s="18">
        <f>17217.32</f>
        <v>17217.32</v>
      </c>
      <c r="J204" s="18">
        <f>9797.53</f>
        <v>9797.5300000000007</v>
      </c>
      <c r="K204" s="18">
        <f>7581.65</f>
        <v>7581.65</v>
      </c>
      <c r="L204" s="19">
        <f t="shared" si="0"/>
        <v>495410.7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886841.63</f>
        <v>886841.63</v>
      </c>
      <c r="G205" s="18">
        <f>476248.33</f>
        <v>476248.33</v>
      </c>
      <c r="H205" s="18">
        <f>2205.28+2586.78+2211.87+2406.22+1255.09+1142.57+168.91+188.15+1717.12+1426.96+851.78+2264.77+1153.26+415.66+2485.64</f>
        <v>22480.059999999994</v>
      </c>
      <c r="I205" s="18"/>
      <c r="J205" s="18"/>
      <c r="K205" s="18">
        <f>989+1924+1967+1879</f>
        <v>6759</v>
      </c>
      <c r="L205" s="19">
        <f t="shared" si="0"/>
        <v>1392329.02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f>253830.86</f>
        <v>253830.86</v>
      </c>
      <c r="G206" s="18">
        <f>138038.58</f>
        <v>138038.57999999999</v>
      </c>
      <c r="H206" s="18">
        <f>68482.24</f>
        <v>68482.240000000005</v>
      </c>
      <c r="I206" s="18"/>
      <c r="J206" s="18"/>
      <c r="K206" s="18"/>
      <c r="L206" s="19">
        <f t="shared" si="0"/>
        <v>460351.67999999993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709555.81+273950.77</f>
        <v>983506.58000000007</v>
      </c>
      <c r="G207" s="18">
        <f>492164.4</f>
        <v>492164.4</v>
      </c>
      <c r="H207" s="18">
        <f>1060.56+399.96+6548.34+347.48+1338.24+1039.55+4622.77+2505.22+6247.46+3209.57+5556.01+9187.24+4300.1+9753.02+655.2+2444.4+1864.8+2100+19550.48+23113.25+15429.56+13347.59+6454.29+8342.54+7712.31+9920.27+553135.94</f>
        <v>720186.14999999991</v>
      </c>
      <c r="I207" s="18">
        <f>3344.54+15833.6+10300.19+21476.53+700+1200+900+800+12914.27+24674.84+21835.54+24881.19+52260.93+46794.44+56854.77+45846.13+12507.63</f>
        <v>353124.60000000003</v>
      </c>
      <c r="J207" s="18">
        <f>839.07+1509.13+531.2+99+493.75+1086.5+1927.75+22405.23</f>
        <v>28891.63</v>
      </c>
      <c r="K207" s="18">
        <f>283.8</f>
        <v>283.8</v>
      </c>
      <c r="L207" s="19">
        <f t="shared" si="0"/>
        <v>2578157.1599999997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1768144.76</f>
        <v>1768144.76</v>
      </c>
      <c r="I208" s="18"/>
      <c r="J208" s="18"/>
      <c r="K208" s="18"/>
      <c r="L208" s="19">
        <f t="shared" si="0"/>
        <v>1768144.76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f>244018.22</f>
        <v>244018.22</v>
      </c>
      <c r="G209" s="18">
        <f>123300.38</f>
        <v>123300.38</v>
      </c>
      <c r="H209" s="18">
        <f>129002.67</f>
        <v>129002.67</v>
      </c>
      <c r="I209" s="18">
        <f>24439.24</f>
        <v>24439.24</v>
      </c>
      <c r="J209" s="18">
        <f>173319.08</f>
        <v>173319.08</v>
      </c>
      <c r="K209" s="18"/>
      <c r="L209" s="19">
        <f>SUM(F209:K209)</f>
        <v>694079.59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16331032.890000001</v>
      </c>
      <c r="G211" s="41">
        <f t="shared" si="1"/>
        <v>8825678.0399999991</v>
      </c>
      <c r="H211" s="41">
        <f t="shared" si="1"/>
        <v>3410787.7299999995</v>
      </c>
      <c r="I211" s="41">
        <f t="shared" si="1"/>
        <v>955105.7899999998</v>
      </c>
      <c r="J211" s="41">
        <f t="shared" si="1"/>
        <v>265636.07999999996</v>
      </c>
      <c r="K211" s="41">
        <f t="shared" si="1"/>
        <v>20008.509999999998</v>
      </c>
      <c r="L211" s="41">
        <f t="shared" si="1"/>
        <v>29808249.039999999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4273060.66+106804.94</f>
        <v>4379865.6000000006</v>
      </c>
      <c r="G215" s="18">
        <f>2236146.45</f>
        <v>2236146.4500000002</v>
      </c>
      <c r="H215" s="18">
        <f>3972.68+17108.02+2978.29+2017.29</f>
        <v>26076.280000000002</v>
      </c>
      <c r="I215" s="18">
        <f>12627.9+5501.21+760.89+1452.36+2031.68+3957.53+4662.15+2278.71+10395.74+7966.8+1448.45+1003.96+32047.89+560.9+14188.35+249.37+722.56+1435.91+2323.65+1514.04+12081.05</f>
        <v>119211.09999999998</v>
      </c>
      <c r="J215" s="18">
        <f>248+6122.46</f>
        <v>6370.46</v>
      </c>
      <c r="K215" s="18"/>
      <c r="L215" s="19">
        <f>SUM(F215:K215)</f>
        <v>6767669.8900000006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118264.93+1422603.25+123598.02+71235.17</f>
        <v>1735701.3699999999</v>
      </c>
      <c r="G216" s="18">
        <f>933692.59</f>
        <v>933692.59</v>
      </c>
      <c r="H216" s="18">
        <f>501666.03+17790.98</f>
        <v>519457.01</v>
      </c>
      <c r="I216" s="18">
        <f>1990.89+779+6357.93</f>
        <v>9127.82</v>
      </c>
      <c r="J216" s="18">
        <f>12074.98</f>
        <v>12074.98</v>
      </c>
      <c r="K216" s="18">
        <f>479.99+3078.5</f>
        <v>3558.49</v>
      </c>
      <c r="L216" s="19">
        <f>SUM(F216:K216)</f>
        <v>3213612.26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46674+1062+97950.13+7920+45307.68</f>
        <v>198913.81</v>
      </c>
      <c r="G218" s="18">
        <f>98725.39</f>
        <v>98725.39</v>
      </c>
      <c r="H218" s="18">
        <f>13375</f>
        <v>13375</v>
      </c>
      <c r="I218" s="18">
        <f>502.85+2309.54+353.8+96.56</f>
        <v>3262.75</v>
      </c>
      <c r="J218" s="18">
        <f>4996.67</f>
        <v>4996.67</v>
      </c>
      <c r="K218" s="18">
        <f>2357.5</f>
        <v>2357.5</v>
      </c>
      <c r="L218" s="19">
        <f>SUM(F218:K218)</f>
        <v>321631.12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40518.4+238394.34+80165.02+52400.04+85824.64+201091.16</f>
        <v>698393.59999999998</v>
      </c>
      <c r="G220" s="18">
        <f>343586.91</f>
        <v>343586.91</v>
      </c>
      <c r="H220" s="18">
        <f>25308.96+134336.56</f>
        <v>159645.51999999999</v>
      </c>
      <c r="I220" s="18">
        <f>474.06+578.8+3054.51+14895.57</f>
        <v>19002.939999999999</v>
      </c>
      <c r="J220" s="18"/>
      <c r="K220" s="18">
        <f>205</f>
        <v>205</v>
      </c>
      <c r="L220" s="19">
        <f t="shared" ref="L220:L226" si="2">SUM(F220:K220)</f>
        <v>1220833.97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13950+166298.83+24634.95</f>
        <v>204883.78</v>
      </c>
      <c r="G221" s="18">
        <f>74029.22+1967.68+107341.35</f>
        <v>183338.25</v>
      </c>
      <c r="H221" s="18">
        <f>40+4507.22</f>
        <v>4547.22</v>
      </c>
      <c r="I221" s="18">
        <f>2196.41+23764.8+300+1743.45</f>
        <v>28004.66</v>
      </c>
      <c r="J221" s="18">
        <f>1504.29</f>
        <v>1504.29</v>
      </c>
      <c r="K221" s="18">
        <f>416.24</f>
        <v>416.24</v>
      </c>
      <c r="L221" s="19">
        <f t="shared" si="2"/>
        <v>422694.43999999994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74751.25</f>
        <v>74751.25</v>
      </c>
      <c r="G222" s="18">
        <f>39986.29</f>
        <v>39986.29</v>
      </c>
      <c r="H222" s="18">
        <f>121136.1</f>
        <v>121136.1</v>
      </c>
      <c r="I222" s="18">
        <f>8808.86</f>
        <v>8808.86</v>
      </c>
      <c r="J222" s="18">
        <f>5012.69</f>
        <v>5012.6899999999996</v>
      </c>
      <c r="K222" s="18">
        <f>3878.98</f>
        <v>3878.98</v>
      </c>
      <c r="L222" s="19">
        <f t="shared" si="2"/>
        <v>253574.17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434262.94</f>
        <v>434262.94</v>
      </c>
      <c r="G223" s="18">
        <f>284713.91</f>
        <v>284713.90999999997</v>
      </c>
      <c r="H223" s="18">
        <f>5745.74+3538.8+711+1271.72</f>
        <v>11267.26</v>
      </c>
      <c r="I223" s="18">
        <f>1179.27</f>
        <v>1179.27</v>
      </c>
      <c r="J223" s="18"/>
      <c r="K223" s="18">
        <f>4507.84</f>
        <v>4507.84</v>
      </c>
      <c r="L223" s="19">
        <f t="shared" si="2"/>
        <v>735931.22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f>129866.95</f>
        <v>129866.95</v>
      </c>
      <c r="G224" s="18">
        <f>70902.14</f>
        <v>70902.14</v>
      </c>
      <c r="H224" s="18">
        <f>35037.42</f>
        <v>35037.42</v>
      </c>
      <c r="I224" s="18"/>
      <c r="J224" s="18"/>
      <c r="K224" s="18"/>
      <c r="L224" s="19">
        <f t="shared" si="2"/>
        <v>235806.51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460909.63+183347.33</f>
        <v>644256.96</v>
      </c>
      <c r="G225" s="18">
        <f>322004.3</f>
        <v>322004.3</v>
      </c>
      <c r="H225" s="18">
        <f>1539.7+4798.78+11964.36+3452.4+37409.87+15567.81+186020.77</f>
        <v>260753.69</v>
      </c>
      <c r="I225" s="18">
        <f>28025+2419.95+37886.2+103215.13+6593.01</f>
        <v>178139.29</v>
      </c>
      <c r="J225" s="18">
        <f>1892+12529.64+1050+7602+14891.53</f>
        <v>37965.17</v>
      </c>
      <c r="K225" s="18">
        <f>145.2</f>
        <v>145.19999999999999</v>
      </c>
      <c r="L225" s="19">
        <f t="shared" si="2"/>
        <v>1443264.6099999999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16824.09+871.55+840446.65-0.01</f>
        <v>858142.28</v>
      </c>
      <c r="I226" s="18"/>
      <c r="J226" s="18"/>
      <c r="K226" s="18"/>
      <c r="L226" s="19">
        <f t="shared" si="2"/>
        <v>858142.28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f>124846.53</f>
        <v>124846.53</v>
      </c>
      <c r="G227" s="18">
        <f>63137.83</f>
        <v>63137.83</v>
      </c>
      <c r="H227" s="18">
        <f>66001.37</f>
        <v>66001.37</v>
      </c>
      <c r="I227" s="18">
        <f>12503.8</f>
        <v>12503.8</v>
      </c>
      <c r="J227" s="18">
        <f>86253.16</f>
        <v>86253.16</v>
      </c>
      <c r="K227" s="18"/>
      <c r="L227" s="19">
        <f>SUM(F227:K227)</f>
        <v>352742.68999999994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8625742.790000001</v>
      </c>
      <c r="G229" s="41">
        <f>SUM(G215:G228)</f>
        <v>4576234.0600000005</v>
      </c>
      <c r="H229" s="41">
        <f>SUM(H215:H228)</f>
        <v>2075439.15</v>
      </c>
      <c r="I229" s="41">
        <f>SUM(I215:I228)</f>
        <v>379240.49</v>
      </c>
      <c r="J229" s="41">
        <f>SUM(J215:J228)</f>
        <v>154177.41999999998</v>
      </c>
      <c r="K229" s="41">
        <f t="shared" si="3"/>
        <v>15069.25</v>
      </c>
      <c r="L229" s="41">
        <f t="shared" si="3"/>
        <v>15825903.159999998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6704125.81+280496.57</f>
        <v>6984622.3799999999</v>
      </c>
      <c r="G233" s="18">
        <f>3676352.97</f>
        <v>3676352.97</v>
      </c>
      <c r="H233" s="18">
        <f>1580.89+10677.69+2250+165+8355.85</f>
        <v>23029.43</v>
      </c>
      <c r="I233" s="18">
        <f>17602.14+2960+1455.15+877.83+1719.85+2597.56+8578.95+26903.02+368.28+16441.36+35959.12+795.19+434.49+41417.76+865.38+314.53+16899.44+1081.98+6115.35+5716.97+30.91+133.35+84.29+269.9+7874.33+4938.68+5500+35306.32</f>
        <v>243242.13000000003</v>
      </c>
      <c r="J233" s="18">
        <f>1560.91+23574.1</f>
        <v>25135.01</v>
      </c>
      <c r="K233" s="18">
        <f>3715.3</f>
        <v>3715.3</v>
      </c>
      <c r="L233" s="19">
        <f>SUM(F233:K233)</f>
        <v>10956097.220000001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128181.62+1589105.96+80287.51</f>
        <v>1797575.09</v>
      </c>
      <c r="G234" s="18">
        <f>1144420.83</f>
        <v>1144420.83</v>
      </c>
      <c r="H234" s="18">
        <f>1994+38939.09+627748.73+20184.09-4558.33</f>
        <v>684307.58</v>
      </c>
      <c r="I234" s="18">
        <f>4721.02+6831.81</f>
        <v>11552.830000000002</v>
      </c>
      <c r="J234" s="18">
        <f>2590.32</f>
        <v>2590.3200000000002</v>
      </c>
      <c r="K234" s="18">
        <f>334</f>
        <v>334</v>
      </c>
      <c r="L234" s="19">
        <f>SUM(F234:K234)</f>
        <v>3640780.65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f>104903.71</f>
        <v>104903.71</v>
      </c>
      <c r="I235" s="18"/>
      <c r="J235" s="18"/>
      <c r="K235" s="18"/>
      <c r="L235" s="19">
        <f>SUM(F235:K235)</f>
        <v>104903.71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84400+486586.87+26720+65054.11</f>
        <v>662760.98</v>
      </c>
      <c r="G236" s="18">
        <f>334255.8</f>
        <v>334255.8</v>
      </c>
      <c r="H236" s="18">
        <f>3870+876.05+35.8+50231.1+10800.56+60067.75</f>
        <v>125881.26</v>
      </c>
      <c r="I236" s="18">
        <f>7213.23+29671.13+1875+482.8</f>
        <v>39242.160000000003</v>
      </c>
      <c r="J236" s="18">
        <f>7963.78+26963.39+14990</f>
        <v>49917.17</v>
      </c>
      <c r="K236" s="18">
        <f>1725.95+39917.12</f>
        <v>41643.07</v>
      </c>
      <c r="L236" s="19">
        <f>SUM(F236:K236)</f>
        <v>1253700.44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146202.93+561174.99+107564.64+71507.02+146644.2-0.01</f>
        <v>1033093.77</v>
      </c>
      <c r="G238" s="18">
        <f>543309.74</f>
        <v>543309.74</v>
      </c>
      <c r="H238" s="18">
        <f>28564.62+139813.77</f>
        <v>168378.38999999998</v>
      </c>
      <c r="I238" s="18">
        <f>1390+5624.98+1003.67+1853.69+19770.25</f>
        <v>29642.59</v>
      </c>
      <c r="J238" s="18"/>
      <c r="K238" s="18">
        <f>2023.25+2000</f>
        <v>4023.25</v>
      </c>
      <c r="L238" s="19">
        <f t="shared" ref="L238:L244" si="4">SUM(F238:K238)</f>
        <v>1778447.74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19987.5+200758.55+39191.97</f>
        <v>259938.02</v>
      </c>
      <c r="G239" s="18">
        <f>97128.31+3130.4+129067.45</f>
        <v>229326.15999999997</v>
      </c>
      <c r="H239" s="18">
        <f>6374.12</f>
        <v>6374.12</v>
      </c>
      <c r="I239" s="18">
        <f>4504.07+60731.22+2618+2773.67</f>
        <v>70626.960000000006</v>
      </c>
      <c r="J239" s="18">
        <f>2393.18</f>
        <v>2393.1799999999998</v>
      </c>
      <c r="K239" s="18">
        <f>662.2</f>
        <v>662.2</v>
      </c>
      <c r="L239" s="19">
        <f t="shared" si="4"/>
        <v>569320.6399999999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118922.44</f>
        <v>118922.44</v>
      </c>
      <c r="G240" s="18">
        <f>63331.88</f>
        <v>63331.88</v>
      </c>
      <c r="H240" s="18">
        <f>192716.53-0.01</f>
        <v>192716.52</v>
      </c>
      <c r="I240" s="18">
        <f>14014.09</f>
        <v>14014.09</v>
      </c>
      <c r="J240" s="18">
        <f>7974.74</f>
        <v>7974.74</v>
      </c>
      <c r="K240" s="18">
        <f>6171.11</f>
        <v>6171.11</v>
      </c>
      <c r="L240" s="19">
        <f t="shared" si="4"/>
        <v>403130.77999999997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880938.56+10250</f>
        <v>891188.56</v>
      </c>
      <c r="G241" s="18">
        <f>478907.5</f>
        <v>478907.5</v>
      </c>
      <c r="H241" s="18">
        <f>4410+8355.35+2190.48+18375.66+2023.19</f>
        <v>35354.68</v>
      </c>
      <c r="I241" s="18">
        <f>310.99+9164.99</f>
        <v>9475.98</v>
      </c>
      <c r="J241" s="18"/>
      <c r="K241" s="18">
        <f>4213</f>
        <v>4213</v>
      </c>
      <c r="L241" s="19">
        <f t="shared" si="4"/>
        <v>1419139.72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f>206606.51</f>
        <v>206606.51</v>
      </c>
      <c r="G242" s="18">
        <f>112123.83</f>
        <v>112123.83</v>
      </c>
      <c r="H242" s="18">
        <f>55741.36</f>
        <v>55741.36</v>
      </c>
      <c r="I242" s="18"/>
      <c r="J242" s="18"/>
      <c r="K242" s="18"/>
      <c r="L242" s="19">
        <f t="shared" si="4"/>
        <v>374471.7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637456.64+289766.18</f>
        <v>927222.82000000007</v>
      </c>
      <c r="G243" s="18">
        <f>463351.45</f>
        <v>463351.45</v>
      </c>
      <c r="H243" s="18">
        <f>1272.13+1233.32+30792.67+24626.01+7051.2+106929.01+18530.04+664796.93</f>
        <v>855231.31</v>
      </c>
      <c r="I243" s="18">
        <f>49207.49+33932.64+96956.59+254922.71+10550.7</f>
        <v>445570.13</v>
      </c>
      <c r="J243" s="18">
        <f>6752.55+3609.99+37160.9</f>
        <v>47523.44</v>
      </c>
      <c r="K243" s="18">
        <f>231</f>
        <v>231</v>
      </c>
      <c r="L243" s="19">
        <f t="shared" si="4"/>
        <v>2739130.15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95854.48+447.51+13769.28+892950.64+0.01</f>
        <v>1003021.92</v>
      </c>
      <c r="I244" s="18"/>
      <c r="J244" s="18"/>
      <c r="K244" s="18"/>
      <c r="L244" s="19">
        <f t="shared" si="4"/>
        <v>1003021.92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f>198619.48</f>
        <v>198619.48</v>
      </c>
      <c r="G245" s="18">
        <f>100298.2</f>
        <v>100298.2</v>
      </c>
      <c r="H245" s="18">
        <f>105002.18</f>
        <v>105002.18</v>
      </c>
      <c r="I245" s="18">
        <f>19892.41</f>
        <v>19892.41</v>
      </c>
      <c r="J245" s="18">
        <f>128753.95</f>
        <v>128753.95</v>
      </c>
      <c r="K245" s="18"/>
      <c r="L245" s="19">
        <f>SUM(F245:K245)</f>
        <v>552566.22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13080550.050000001</v>
      </c>
      <c r="G247" s="41">
        <f t="shared" si="5"/>
        <v>7145678.3600000013</v>
      </c>
      <c r="H247" s="41">
        <f t="shared" si="5"/>
        <v>3359942.4600000004</v>
      </c>
      <c r="I247" s="41">
        <f t="shared" si="5"/>
        <v>883259.28000000014</v>
      </c>
      <c r="J247" s="41">
        <f t="shared" si="5"/>
        <v>264287.81</v>
      </c>
      <c r="K247" s="41">
        <f t="shared" si="5"/>
        <v>60992.93</v>
      </c>
      <c r="L247" s="41">
        <f t="shared" si="5"/>
        <v>24794710.890000001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f>28212.55+187.68</f>
        <v>28400.23</v>
      </c>
      <c r="G251" s="18">
        <f>19248.11</f>
        <v>19248.11</v>
      </c>
      <c r="H251" s="18">
        <f>5000</f>
        <v>5000</v>
      </c>
      <c r="I251" s="18">
        <f>307.67+291.89</f>
        <v>599.55999999999995</v>
      </c>
      <c r="J251" s="18"/>
      <c r="K251" s="18"/>
      <c r="L251" s="19">
        <f t="shared" si="6"/>
        <v>53247.899999999994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28400.23</v>
      </c>
      <c r="G256" s="41">
        <f t="shared" si="7"/>
        <v>19248.11</v>
      </c>
      <c r="H256" s="41">
        <f t="shared" si="7"/>
        <v>5000</v>
      </c>
      <c r="I256" s="41">
        <f t="shared" si="7"/>
        <v>599.55999999999995</v>
      </c>
      <c r="J256" s="41">
        <f t="shared" si="7"/>
        <v>0</v>
      </c>
      <c r="K256" s="41">
        <f t="shared" si="7"/>
        <v>0</v>
      </c>
      <c r="L256" s="41">
        <f>SUM(F256:K256)</f>
        <v>53247.899999999994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38065725.960000001</v>
      </c>
      <c r="G257" s="41">
        <f t="shared" si="8"/>
        <v>20566838.57</v>
      </c>
      <c r="H257" s="41">
        <f t="shared" si="8"/>
        <v>8851169.3399999999</v>
      </c>
      <c r="I257" s="41">
        <f t="shared" si="8"/>
        <v>2218205.12</v>
      </c>
      <c r="J257" s="41">
        <f t="shared" si="8"/>
        <v>684101.30999999994</v>
      </c>
      <c r="K257" s="41">
        <f t="shared" si="8"/>
        <v>96070.69</v>
      </c>
      <c r="L257" s="41">
        <f t="shared" si="8"/>
        <v>70482110.99000001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1660000</v>
      </c>
      <c r="L260" s="19">
        <f>SUM(F260:K260)</f>
        <v>1660000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424328.96000000002</v>
      </c>
      <c r="L261" s="19">
        <f>SUM(F261:K261)</f>
        <v>424328.96000000002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56199.6</v>
      </c>
      <c r="L263" s="19">
        <f>SUM(F263:K263)</f>
        <v>56199.6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775000</v>
      </c>
      <c r="L266" s="19">
        <f t="shared" si="9"/>
        <v>775000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4558.33</v>
      </c>
      <c r="L268" s="19">
        <f t="shared" si="9"/>
        <v>4558.33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2920086.89</v>
      </c>
      <c r="L270" s="41">
        <f t="shared" si="9"/>
        <v>2920086.89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38065725.960000001</v>
      </c>
      <c r="G271" s="42">
        <f t="shared" si="11"/>
        <v>20566838.57</v>
      </c>
      <c r="H271" s="42">
        <f t="shared" si="11"/>
        <v>8851169.3399999999</v>
      </c>
      <c r="I271" s="42">
        <f t="shared" si="11"/>
        <v>2218205.12</v>
      </c>
      <c r="J271" s="42">
        <f t="shared" si="11"/>
        <v>684101.30999999994</v>
      </c>
      <c r="K271" s="42">
        <f t="shared" si="11"/>
        <v>3016157.58</v>
      </c>
      <c r="L271" s="42">
        <f t="shared" si="11"/>
        <v>73402197.88000001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1467.03+175499.51+103715.17+1000+7900.92+4235.2</f>
        <v>293817.83</v>
      </c>
      <c r="G276" s="18">
        <f>44216.53</f>
        <v>44216.53</v>
      </c>
      <c r="H276" s="18"/>
      <c r="I276" s="18">
        <f>1389.44+217.91</f>
        <v>1607.3500000000001</v>
      </c>
      <c r="J276" s="18">
        <f>11497</f>
        <v>11497</v>
      </c>
      <c r="K276" s="18"/>
      <c r="L276" s="19">
        <f>SUM(F276:K276)</f>
        <v>351138.70999999996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72180.01+34306.99+38367.15+19425.6+15367.28+112707.91+59967.13</f>
        <v>352322.07</v>
      </c>
      <c r="G277" s="18"/>
      <c r="H277" s="18"/>
      <c r="I277" s="18">
        <f>110+1716.38+627.45</f>
        <v>2453.83</v>
      </c>
      <c r="J277" s="18">
        <f>15418.5+5116.12</f>
        <v>20534.62</v>
      </c>
      <c r="K277" s="18"/>
      <c r="L277" s="19">
        <f>SUM(F277:K277)</f>
        <v>375310.52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f>72630.2+18314.41+16257.8+27924.31</f>
        <v>135126.72</v>
      </c>
      <c r="G281" s="18"/>
      <c r="H281" s="18"/>
      <c r="I281" s="18"/>
      <c r="J281" s="18"/>
      <c r="K281" s="18"/>
      <c r="L281" s="19">
        <f t="shared" ref="L281:L287" si="12">SUM(F281:K281)</f>
        <v>135126.72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f>63685.41</f>
        <v>63685.41</v>
      </c>
      <c r="I282" s="18">
        <f>29662.31+831.87</f>
        <v>30494.18</v>
      </c>
      <c r="J282" s="18">
        <f>5594.67</f>
        <v>5594.67</v>
      </c>
      <c r="K282" s="18"/>
      <c r="L282" s="19">
        <f t="shared" si="12"/>
        <v>99774.26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781266.62</v>
      </c>
      <c r="G290" s="42">
        <f t="shared" si="13"/>
        <v>44216.53</v>
      </c>
      <c r="H290" s="42">
        <f t="shared" si="13"/>
        <v>63685.41</v>
      </c>
      <c r="I290" s="42">
        <f t="shared" si="13"/>
        <v>34555.360000000001</v>
      </c>
      <c r="J290" s="42">
        <f t="shared" si="13"/>
        <v>37626.29</v>
      </c>
      <c r="K290" s="42">
        <f t="shared" si="13"/>
        <v>0</v>
      </c>
      <c r="L290" s="41">
        <f t="shared" si="13"/>
        <v>961350.21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f>84158.09+25830.08</f>
        <v>109988.17</v>
      </c>
      <c r="G296" s="18"/>
      <c r="H296" s="18"/>
      <c r="I296" s="18"/>
      <c r="J296" s="18"/>
      <c r="K296" s="18"/>
      <c r="L296" s="19">
        <f>SUM(F296:K296)</f>
        <v>109988.17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>
        <f>425.61</f>
        <v>425.61</v>
      </c>
      <c r="J301" s="18">
        <f>2862.39</f>
        <v>2862.39</v>
      </c>
      <c r="K301" s="18"/>
      <c r="L301" s="19">
        <f t="shared" si="14"/>
        <v>3288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109988.17</v>
      </c>
      <c r="G309" s="42">
        <f t="shared" si="15"/>
        <v>0</v>
      </c>
      <c r="H309" s="42">
        <f t="shared" si="15"/>
        <v>0</v>
      </c>
      <c r="I309" s="42">
        <f t="shared" si="15"/>
        <v>425.61</v>
      </c>
      <c r="J309" s="42">
        <f t="shared" si="15"/>
        <v>2862.39</v>
      </c>
      <c r="K309" s="42">
        <f t="shared" si="15"/>
        <v>0</v>
      </c>
      <c r="L309" s="41">
        <f t="shared" si="15"/>
        <v>113276.17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>
        <f>67.73+59.36+1589.08</f>
        <v>1716.1699999999998</v>
      </c>
      <c r="J314" s="18"/>
      <c r="K314" s="18"/>
      <c r="L314" s="19">
        <f>SUM(F314:K314)</f>
        <v>1716.1699999999998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f>389294.88+41992.6</f>
        <v>431287.48</v>
      </c>
      <c r="G315" s="18"/>
      <c r="H315" s="18"/>
      <c r="I315" s="18"/>
      <c r="J315" s="18"/>
      <c r="K315" s="18"/>
      <c r="L315" s="19">
        <f>SUM(F315:K315)</f>
        <v>431287.48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f>4480+41966.7</f>
        <v>46446.7</v>
      </c>
      <c r="G319" s="18"/>
      <c r="H319" s="18"/>
      <c r="I319" s="18"/>
      <c r="J319" s="18"/>
      <c r="K319" s="18"/>
      <c r="L319" s="19">
        <f t="shared" ref="L319:L325" si="16">SUM(F319:K319)</f>
        <v>46446.7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>
        <f>677.1</f>
        <v>677.1</v>
      </c>
      <c r="J320" s="18">
        <f>4553.8</f>
        <v>4553.8</v>
      </c>
      <c r="K320" s="18"/>
      <c r="L320" s="19">
        <f t="shared" si="16"/>
        <v>5230.9000000000005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477734.18</v>
      </c>
      <c r="G328" s="42">
        <f t="shared" si="17"/>
        <v>0</v>
      </c>
      <c r="H328" s="42">
        <f t="shared" si="17"/>
        <v>0</v>
      </c>
      <c r="I328" s="42">
        <f t="shared" si="17"/>
        <v>2393.27</v>
      </c>
      <c r="J328" s="42">
        <f t="shared" si="17"/>
        <v>4553.8</v>
      </c>
      <c r="K328" s="42">
        <f t="shared" si="17"/>
        <v>0</v>
      </c>
      <c r="L328" s="41">
        <f t="shared" si="17"/>
        <v>484681.25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f>18688</f>
        <v>18688</v>
      </c>
      <c r="G333" s="18">
        <f>5634.33</f>
        <v>5634.33</v>
      </c>
      <c r="H333" s="18"/>
      <c r="I333" s="18">
        <f>1618.28+1001.56+8000</f>
        <v>10619.84</v>
      </c>
      <c r="J333" s="18">
        <f>5049</f>
        <v>5049</v>
      </c>
      <c r="K333" s="18"/>
      <c r="L333" s="19">
        <f t="shared" si="18"/>
        <v>39991.17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18688</v>
      </c>
      <c r="G337" s="41">
        <f t="shared" si="19"/>
        <v>5634.33</v>
      </c>
      <c r="H337" s="41">
        <f t="shared" si="19"/>
        <v>0</v>
      </c>
      <c r="I337" s="41">
        <f t="shared" si="19"/>
        <v>10619.84</v>
      </c>
      <c r="J337" s="41">
        <f t="shared" si="19"/>
        <v>5049</v>
      </c>
      <c r="K337" s="41">
        <f t="shared" si="19"/>
        <v>0</v>
      </c>
      <c r="L337" s="41">
        <f t="shared" si="18"/>
        <v>39991.17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1387676.97</v>
      </c>
      <c r="G338" s="41">
        <f t="shared" si="20"/>
        <v>49850.86</v>
      </c>
      <c r="H338" s="41">
        <f t="shared" si="20"/>
        <v>63685.41</v>
      </c>
      <c r="I338" s="41">
        <f t="shared" si="20"/>
        <v>47994.080000000002</v>
      </c>
      <c r="J338" s="41">
        <f t="shared" si="20"/>
        <v>50091.48</v>
      </c>
      <c r="K338" s="41">
        <f t="shared" si="20"/>
        <v>0</v>
      </c>
      <c r="L338" s="41">
        <f t="shared" si="20"/>
        <v>1599298.7999999998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1387676.97</v>
      </c>
      <c r="G352" s="41">
        <f>G338</f>
        <v>49850.86</v>
      </c>
      <c r="H352" s="41">
        <f>H338</f>
        <v>63685.41</v>
      </c>
      <c r="I352" s="41">
        <f>I338</f>
        <v>47994.080000000002</v>
      </c>
      <c r="J352" s="41">
        <f>J338</f>
        <v>50091.48</v>
      </c>
      <c r="K352" s="47">
        <f>K338+K351</f>
        <v>0</v>
      </c>
      <c r="L352" s="41">
        <f>L338+L351</f>
        <v>1599298.7999999998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147000.77+23936.39</f>
        <v>170937.15999999997</v>
      </c>
      <c r="G358" s="18">
        <f>14517.24</f>
        <v>14517.24</v>
      </c>
      <c r="H358" s="18">
        <v>8560.5400000000009</v>
      </c>
      <c r="I358" s="18">
        <v>237889.89</v>
      </c>
      <c r="J358" s="18">
        <f>890.01</f>
        <v>890.01</v>
      </c>
      <c r="K358" s="18">
        <f>1151.11+2129.7</f>
        <v>3280.8099999999995</v>
      </c>
      <c r="L358" s="13">
        <f>SUM(F358:K358)</f>
        <v>436075.64999999997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f>121309.42+18531.4</f>
        <v>139840.82</v>
      </c>
      <c r="G359" s="18">
        <f>11795.26</f>
        <v>11795.26</v>
      </c>
      <c r="H359" s="18">
        <v>6627.51</v>
      </c>
      <c r="I359" s="18">
        <v>184172.82</v>
      </c>
      <c r="J359" s="18">
        <f>689.04+1649</f>
        <v>2338.04</v>
      </c>
      <c r="K359" s="18">
        <f>891.18+3670.8</f>
        <v>4561.9800000000005</v>
      </c>
      <c r="L359" s="19">
        <f>SUM(F359:K359)</f>
        <v>349336.43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124520.14+34746.36+60270.08</f>
        <v>219536.58000000002</v>
      </c>
      <c r="G360" s="18">
        <f>24377.76+13251.43+19053.89</f>
        <v>56683.08</v>
      </c>
      <c r="H360" s="18">
        <v>12426.59</v>
      </c>
      <c r="I360" s="18">
        <v>345324.03</v>
      </c>
      <c r="J360" s="18">
        <f>38950+1291.95</f>
        <v>40241.949999999997</v>
      </c>
      <c r="K360" s="18">
        <f>1670.97+7653.34</f>
        <v>9324.31</v>
      </c>
      <c r="L360" s="19">
        <f>SUM(F360:K360)</f>
        <v>683536.54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530314.56000000006</v>
      </c>
      <c r="G362" s="47">
        <f t="shared" si="22"/>
        <v>82995.58</v>
      </c>
      <c r="H362" s="47">
        <f t="shared" si="22"/>
        <v>27614.639999999999</v>
      </c>
      <c r="I362" s="47">
        <f t="shared" si="22"/>
        <v>767386.74</v>
      </c>
      <c r="J362" s="47">
        <f t="shared" si="22"/>
        <v>43470</v>
      </c>
      <c r="K362" s="47">
        <f t="shared" si="22"/>
        <v>17167.099999999999</v>
      </c>
      <c r="L362" s="47">
        <f t="shared" si="22"/>
        <v>1468948.62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208641.23</v>
      </c>
      <c r="G367" s="18">
        <v>161528.70000000001</v>
      </c>
      <c r="H367" s="18">
        <v>302866.31</v>
      </c>
      <c r="I367" s="56">
        <f>SUM(F367:H367)</f>
        <v>673036.24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29248.66</v>
      </c>
      <c r="G368" s="63">
        <v>22644.12</v>
      </c>
      <c r="H368" s="63">
        <v>42457.72</v>
      </c>
      <c r="I368" s="56">
        <f>SUM(F368:H368)</f>
        <v>94350.5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237889.89</v>
      </c>
      <c r="G369" s="47">
        <f>SUM(G367:G368)</f>
        <v>184172.82</v>
      </c>
      <c r="H369" s="47">
        <f>SUM(H367:H368)</f>
        <v>345324.03</v>
      </c>
      <c r="I369" s="47">
        <f>SUM(I367:I368)</f>
        <v>767386.74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386520.05</v>
      </c>
      <c r="I379" s="18"/>
      <c r="J379" s="18"/>
      <c r="K379" s="18"/>
      <c r="L379" s="13">
        <f t="shared" si="23"/>
        <v>386520.05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64364.53</v>
      </c>
      <c r="L381" s="13">
        <f t="shared" si="23"/>
        <v>64364.53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386520.05</v>
      </c>
      <c r="I382" s="41">
        <f t="shared" si="24"/>
        <v>0</v>
      </c>
      <c r="J382" s="47">
        <f t="shared" si="24"/>
        <v>0</v>
      </c>
      <c r="K382" s="47">
        <f t="shared" si="24"/>
        <v>64364.53</v>
      </c>
      <c r="L382" s="47">
        <f t="shared" si="24"/>
        <v>450884.57999999996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>
        <v>146.5</v>
      </c>
      <c r="I388" s="18"/>
      <c r="J388" s="24" t="s">
        <v>286</v>
      </c>
      <c r="K388" s="24" t="s">
        <v>286</v>
      </c>
      <c r="L388" s="56">
        <f t="shared" si="25"/>
        <v>146.5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125000</v>
      </c>
      <c r="H392" s="18">
        <v>364</v>
      </c>
      <c r="I392" s="18"/>
      <c r="J392" s="24" t="s">
        <v>286</v>
      </c>
      <c r="K392" s="24" t="s">
        <v>286</v>
      </c>
      <c r="L392" s="56">
        <f t="shared" si="25"/>
        <v>125364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125000</v>
      </c>
      <c r="H393" s="139">
        <f>SUM(H387:H392)</f>
        <v>510.5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125510.5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600000</v>
      </c>
      <c r="H396" s="18">
        <v>1825.89</v>
      </c>
      <c r="I396" s="18"/>
      <c r="J396" s="24" t="s">
        <v>286</v>
      </c>
      <c r="K396" s="24" t="s">
        <v>286</v>
      </c>
      <c r="L396" s="56">
        <f t="shared" si="26"/>
        <v>601825.89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50000</v>
      </c>
      <c r="H397" s="18">
        <v>733.91</v>
      </c>
      <c r="I397" s="18"/>
      <c r="J397" s="24" t="s">
        <v>286</v>
      </c>
      <c r="K397" s="24" t="s">
        <v>286</v>
      </c>
      <c r="L397" s="56">
        <f t="shared" si="26"/>
        <v>50733.91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-432.95</v>
      </c>
      <c r="I400" s="18"/>
      <c r="J400" s="24" t="s">
        <v>286</v>
      </c>
      <c r="K400" s="24" t="s">
        <v>286</v>
      </c>
      <c r="L400" s="56">
        <f t="shared" si="26"/>
        <v>-432.95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650000</v>
      </c>
      <c r="H401" s="47">
        <f>SUM(H395:H400)</f>
        <v>2126.8500000000004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652126.85000000009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775000</v>
      </c>
      <c r="H408" s="47">
        <f>H393+H401+H407</f>
        <v>2637.3500000000004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777637.35000000009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>
        <v>108628.45</v>
      </c>
      <c r="L418" s="56">
        <f t="shared" si="27"/>
        <v>108628.45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108628.45</v>
      </c>
      <c r="L419" s="47">
        <f t="shared" si="28"/>
        <v>108628.45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736465.99</v>
      </c>
      <c r="L422" s="56">
        <f t="shared" si="29"/>
        <v>736465.99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736465.99</v>
      </c>
      <c r="L427" s="47">
        <f t="shared" si="30"/>
        <v>736465.99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845094.44</v>
      </c>
      <c r="L434" s="47">
        <f t="shared" si="32"/>
        <v>845094.44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69856.83</v>
      </c>
      <c r="G439" s="18">
        <v>271468.15000000002</v>
      </c>
      <c r="H439" s="18"/>
      <c r="I439" s="56">
        <f t="shared" ref="I439:I445" si="33">SUM(F439:H439)</f>
        <v>341324.98000000004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69856.83</v>
      </c>
      <c r="G446" s="13">
        <f>SUM(G439:G445)</f>
        <v>271468.15000000002</v>
      </c>
      <c r="H446" s="13">
        <f>SUM(H439:H445)</f>
        <v>0</v>
      </c>
      <c r="I446" s="13">
        <f>SUM(I439:I445)</f>
        <v>341324.98000000004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69856.83</v>
      </c>
      <c r="G459" s="18">
        <v>271468.15000000002</v>
      </c>
      <c r="H459" s="18"/>
      <c r="I459" s="56">
        <f t="shared" si="34"/>
        <v>341324.98000000004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69856.83</v>
      </c>
      <c r="G460" s="83">
        <f>SUM(G454:G459)</f>
        <v>271468.15000000002</v>
      </c>
      <c r="H460" s="83">
        <f>SUM(H454:H459)</f>
        <v>0</v>
      </c>
      <c r="I460" s="83">
        <f>SUM(I454:I459)</f>
        <v>341324.98000000004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69856.83</v>
      </c>
      <c r="G461" s="42">
        <f>G452+G460</f>
        <v>271468.15000000002</v>
      </c>
      <c r="H461" s="42">
        <f>H452+H460</f>
        <v>0</v>
      </c>
      <c r="I461" s="42">
        <f>I452+I460</f>
        <v>341324.98000000004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606073.28</v>
      </c>
      <c r="G465" s="18">
        <v>75355.03</v>
      </c>
      <c r="H465" s="18">
        <v>23668.1</v>
      </c>
      <c r="I465" s="18">
        <v>450884.58</v>
      </c>
      <c r="J465" s="18">
        <v>408782.07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74260671.709999993</v>
      </c>
      <c r="G468" s="18">
        <v>1516970.45</v>
      </c>
      <c r="H468" s="18">
        <v>1593820.1599999999</v>
      </c>
      <c r="I468" s="18">
        <v>0</v>
      </c>
      <c r="J468" s="18">
        <v>777637.35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74260671.709999993</v>
      </c>
      <c r="G470" s="53">
        <f>SUM(G468:G469)</f>
        <v>1516970.45</v>
      </c>
      <c r="H470" s="53">
        <f>SUM(H468:H469)</f>
        <v>1593820.1599999999</v>
      </c>
      <c r="I470" s="53">
        <f>SUM(I468:I469)</f>
        <v>0</v>
      </c>
      <c r="J470" s="53">
        <f>SUM(J468:J469)</f>
        <v>777637.35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73402197.879999995</v>
      </c>
      <c r="G472" s="18">
        <v>1468948.62</v>
      </c>
      <c r="H472" s="18">
        <v>1599298.8</v>
      </c>
      <c r="I472" s="18">
        <v>450884.58</v>
      </c>
      <c r="J472" s="18">
        <v>845094.44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73402197.879999995</v>
      </c>
      <c r="G474" s="53">
        <f>SUM(G472:G473)</f>
        <v>1468948.62</v>
      </c>
      <c r="H474" s="53">
        <f>SUM(H472:H473)</f>
        <v>1599298.8</v>
      </c>
      <c r="I474" s="53">
        <f>SUM(I472:I473)</f>
        <v>450884.58</v>
      </c>
      <c r="J474" s="53">
        <f>SUM(J472:J473)</f>
        <v>845094.44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1464547.1099999994</v>
      </c>
      <c r="G476" s="53">
        <f>(G465+G470)- G474</f>
        <v>123376.85999999987</v>
      </c>
      <c r="H476" s="53">
        <f>(H465+H470)- H474</f>
        <v>18189.459999999963</v>
      </c>
      <c r="I476" s="53">
        <f>(I465+I470)- I474</f>
        <v>0</v>
      </c>
      <c r="J476" s="53">
        <f>(J465+J470)- J474</f>
        <v>341324.98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10</v>
      </c>
      <c r="H490" s="275" t="s">
        <v>923</v>
      </c>
      <c r="I490" s="154">
        <v>12</v>
      </c>
      <c r="J490" s="154">
        <v>10</v>
      </c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915</v>
      </c>
      <c r="H491" s="155" t="s">
        <v>917</v>
      </c>
      <c r="I491" s="155" t="s">
        <v>918</v>
      </c>
      <c r="J491" s="155" t="s">
        <v>920</v>
      </c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 t="s">
        <v>916</v>
      </c>
      <c r="H492" s="155" t="s">
        <v>922</v>
      </c>
      <c r="I492" s="155" t="s">
        <v>919</v>
      </c>
      <c r="J492" s="155" t="s">
        <v>921</v>
      </c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12030000</v>
      </c>
      <c r="G493" s="18">
        <v>2720000</v>
      </c>
      <c r="H493" s="18">
        <v>5100000</v>
      </c>
      <c r="I493" s="18">
        <v>2955000</v>
      </c>
      <c r="J493" s="18">
        <v>3895000</v>
      </c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4.57</v>
      </c>
      <c r="G494" s="18">
        <v>2.69</v>
      </c>
      <c r="H494" s="18">
        <v>4.09</v>
      </c>
      <c r="I494" s="18">
        <v>1.94</v>
      </c>
      <c r="J494" s="18">
        <v>2.14</v>
      </c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3990000</v>
      </c>
      <c r="G495" s="18">
        <v>2720000</v>
      </c>
      <c r="H495" s="18">
        <v>510000</v>
      </c>
      <c r="I495" s="18">
        <v>2565000</v>
      </c>
      <c r="J495" s="18">
        <v>3115000</v>
      </c>
      <c r="K495" s="53">
        <f>SUM(F495:J495)</f>
        <v>12900000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665000</v>
      </c>
      <c r="G497" s="18">
        <v>45000</v>
      </c>
      <c r="H497" s="18">
        <v>255000</v>
      </c>
      <c r="I497" s="18">
        <v>305000</v>
      </c>
      <c r="J497" s="18">
        <v>390000</v>
      </c>
      <c r="K497" s="53">
        <f t="shared" si="35"/>
        <v>1660000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3325000</v>
      </c>
      <c r="G498" s="204">
        <v>2675000</v>
      </c>
      <c r="H498" s="204">
        <v>255000</v>
      </c>
      <c r="I498" s="204">
        <v>2260000</v>
      </c>
      <c r="J498" s="204">
        <v>2725000</v>
      </c>
      <c r="K498" s="205">
        <f t="shared" si="35"/>
        <v>11240000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412300</v>
      </c>
      <c r="G499" s="18">
        <v>420813.37</v>
      </c>
      <c r="H499" s="18">
        <v>5418.75</v>
      </c>
      <c r="I499" s="18">
        <v>200703.18</v>
      </c>
      <c r="J499" s="18">
        <v>285675</v>
      </c>
      <c r="K499" s="53">
        <f t="shared" si="35"/>
        <v>1324910.3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3737300</v>
      </c>
      <c r="G500" s="42">
        <f>SUM(G498:G499)</f>
        <v>3095813.37</v>
      </c>
      <c r="H500" s="42">
        <f>SUM(H498:H499)</f>
        <v>260418.75</v>
      </c>
      <c r="I500" s="42">
        <f>SUM(I498:I499)</f>
        <v>2460703.1800000002</v>
      </c>
      <c r="J500" s="42">
        <f>SUM(J498:J499)</f>
        <v>3010675</v>
      </c>
      <c r="K500" s="42">
        <f t="shared" si="35"/>
        <v>12564910.300000001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665000</v>
      </c>
      <c r="G501" s="204">
        <v>30000</v>
      </c>
      <c r="H501" s="204">
        <v>255000</v>
      </c>
      <c r="I501" s="204">
        <v>300000</v>
      </c>
      <c r="J501" s="204">
        <v>390000</v>
      </c>
      <c r="K501" s="205">
        <f t="shared" si="35"/>
        <v>1640000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147131.25</v>
      </c>
      <c r="G502" s="18">
        <v>71465.72</v>
      </c>
      <c r="H502" s="18">
        <v>5418.75</v>
      </c>
      <c r="I502" s="18">
        <v>46293.760000000002</v>
      </c>
      <c r="J502" s="18">
        <v>75900</v>
      </c>
      <c r="K502" s="53">
        <f t="shared" si="35"/>
        <v>346209.48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812131.25</v>
      </c>
      <c r="G503" s="42">
        <f>SUM(G501:G502)</f>
        <v>101465.72</v>
      </c>
      <c r="H503" s="42">
        <f>SUM(H501:H502)</f>
        <v>260418.75</v>
      </c>
      <c r="I503" s="42">
        <f>SUM(I501:I502)</f>
        <v>346293.76000000001</v>
      </c>
      <c r="J503" s="42">
        <f>SUM(J501:J502)</f>
        <v>465900</v>
      </c>
      <c r="K503" s="42">
        <f t="shared" si="35"/>
        <v>1986209.48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4019438</v>
      </c>
      <c r="G507" s="144">
        <v>610567</v>
      </c>
      <c r="H507" s="144">
        <v>500963</v>
      </c>
      <c r="I507" s="144">
        <v>4129042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4107576.62</v>
      </c>
      <c r="G521" s="18">
        <v>1997925.2679680001</v>
      </c>
      <c r="H521" s="18">
        <v>368159.88</v>
      </c>
      <c r="I521" s="18">
        <v>28418.589999999997</v>
      </c>
      <c r="J521" s="18">
        <v>38246.53</v>
      </c>
      <c r="K521" s="18">
        <v>1415</v>
      </c>
      <c r="L521" s="88">
        <f>SUM(F521:K521)</f>
        <v>6541741.887968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1586573.7</v>
      </c>
      <c r="G522" s="18">
        <v>771709.44767999998</v>
      </c>
      <c r="H522" s="18">
        <v>510391.56000000006</v>
      </c>
      <c r="I522" s="18">
        <v>7243.81</v>
      </c>
      <c r="J522" s="18">
        <v>12074.98</v>
      </c>
      <c r="K522" s="18">
        <v>479.99</v>
      </c>
      <c r="L522" s="88">
        <f>SUM(F522:K522)</f>
        <v>2888473.4876800003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2106534.9500000002</v>
      </c>
      <c r="G523" s="18">
        <v>1024618.5996800001</v>
      </c>
      <c r="H523" s="18">
        <v>675641.18</v>
      </c>
      <c r="I523" s="18">
        <v>12010.21</v>
      </c>
      <c r="J523" s="18">
        <v>2590.3200000000002</v>
      </c>
      <c r="K523" s="18">
        <v>334</v>
      </c>
      <c r="L523" s="88">
        <f>SUM(F523:K523)</f>
        <v>3821729.2596800001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7800685.2700000005</v>
      </c>
      <c r="G524" s="108">
        <f t="shared" ref="G524:L524" si="36">SUM(G521:G523)</f>
        <v>3794253.3153280001</v>
      </c>
      <c r="H524" s="108">
        <f t="shared" si="36"/>
        <v>1554192.62</v>
      </c>
      <c r="I524" s="108">
        <f t="shared" si="36"/>
        <v>47672.609999999993</v>
      </c>
      <c r="J524" s="108">
        <f t="shared" si="36"/>
        <v>52911.829999999994</v>
      </c>
      <c r="K524" s="108">
        <f t="shared" si="36"/>
        <v>2228.9899999999998</v>
      </c>
      <c r="L524" s="89">
        <f t="shared" si="36"/>
        <v>13251944.635327999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1524127.12</v>
      </c>
      <c r="G526" s="18">
        <v>741335.4311680001</v>
      </c>
      <c r="H526" s="18">
        <v>98952.39</v>
      </c>
      <c r="I526" s="18">
        <v>782.74</v>
      </c>
      <c r="J526" s="18"/>
      <c r="K526" s="18"/>
      <c r="L526" s="88">
        <f>SUM(F526:K526)</f>
        <v>2365197.6811680007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283922.66000000003</v>
      </c>
      <c r="G527" s="18">
        <v>138099.98182400002</v>
      </c>
      <c r="H527" s="18">
        <v>149716.06</v>
      </c>
      <c r="I527" s="18">
        <v>400.71</v>
      </c>
      <c r="J527" s="18"/>
      <c r="K527" s="18"/>
      <c r="L527" s="88">
        <f>SUM(F527:K527)</f>
        <v>572139.41182400007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194430.86</v>
      </c>
      <c r="G528" s="18">
        <v>94571.170303999999</v>
      </c>
      <c r="H528" s="18">
        <v>159835.34</v>
      </c>
      <c r="I528" s="18">
        <v>637.04</v>
      </c>
      <c r="J528" s="18"/>
      <c r="K528" s="18"/>
      <c r="L528" s="88">
        <f>SUM(F528:K528)</f>
        <v>449474.41030399996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2002480.6400000001</v>
      </c>
      <c r="G529" s="89">
        <f t="shared" ref="G529:L529" si="37">SUM(G526:G528)</f>
        <v>974006.58329600014</v>
      </c>
      <c r="H529" s="89">
        <f t="shared" si="37"/>
        <v>408503.79000000004</v>
      </c>
      <c r="I529" s="89">
        <f t="shared" si="37"/>
        <v>1820.49</v>
      </c>
      <c r="J529" s="89">
        <f t="shared" si="37"/>
        <v>0</v>
      </c>
      <c r="K529" s="89">
        <f t="shared" si="37"/>
        <v>0</v>
      </c>
      <c r="L529" s="89">
        <f t="shared" si="37"/>
        <v>3386811.5032960009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159263.45+106720.74+89881.54</f>
        <v>355865.73</v>
      </c>
      <c r="G531" s="18">
        <f>F531*0.4864</f>
        <v>173093.09107199998</v>
      </c>
      <c r="H531" s="18">
        <f>1393.08</f>
        <v>1393.08</v>
      </c>
      <c r="I531" s="18">
        <f>327.36</f>
        <v>327.36</v>
      </c>
      <c r="J531" s="18"/>
      <c r="K531" s="18"/>
      <c r="L531" s="88">
        <f>SUM(F531:K531)</f>
        <v>530679.26107199991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f>89772.02+28492.91+53500.92</f>
        <v>171765.85</v>
      </c>
      <c r="G532" s="18">
        <f t="shared" ref="G532:G533" si="38">F532*0.4864</f>
        <v>83546.909440000003</v>
      </c>
      <c r="H532" s="18">
        <f>829.21</f>
        <v>829.21</v>
      </c>
      <c r="I532" s="18">
        <f>194.86</f>
        <v>194.86</v>
      </c>
      <c r="J532" s="18"/>
      <c r="K532" s="18"/>
      <c r="L532" s="88">
        <f>SUM(F532:K532)</f>
        <v>256336.82943999997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99236.02+28945.6+70621.21</f>
        <v>198802.83000000002</v>
      </c>
      <c r="G533" s="18">
        <f t="shared" si="38"/>
        <v>96697.69651200001</v>
      </c>
      <c r="H533" s="18">
        <f>1094.56</f>
        <v>1094.56</v>
      </c>
      <c r="I533" s="18">
        <f>257.21</f>
        <v>257.20999999999998</v>
      </c>
      <c r="J533" s="18"/>
      <c r="K533" s="18"/>
      <c r="L533" s="88">
        <f>SUM(F533:K533)</f>
        <v>296852.29651200003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726434.40999999992</v>
      </c>
      <c r="G534" s="89">
        <f t="shared" ref="G534:L534" si="39">SUM(G531:G533)</f>
        <v>353337.69702399999</v>
      </c>
      <c r="H534" s="89">
        <f t="shared" si="39"/>
        <v>3316.85</v>
      </c>
      <c r="I534" s="89">
        <f t="shared" si="39"/>
        <v>779.43000000000006</v>
      </c>
      <c r="J534" s="89">
        <f t="shared" si="39"/>
        <v>0</v>
      </c>
      <c r="K534" s="89">
        <f t="shared" si="39"/>
        <v>0</v>
      </c>
      <c r="L534" s="89">
        <f t="shared" si="39"/>
        <v>1083868.3870239998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11029.96</v>
      </c>
      <c r="I536" s="18"/>
      <c r="J536" s="18"/>
      <c r="K536" s="18"/>
      <c r="L536" s="88">
        <f>SUM(F536:K536)</f>
        <v>11029.96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6565.45</v>
      </c>
      <c r="I537" s="18"/>
      <c r="J537" s="18"/>
      <c r="K537" s="18"/>
      <c r="L537" s="88">
        <f>SUM(F537:K537)</f>
        <v>6565.45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8666.39</v>
      </c>
      <c r="I538" s="18"/>
      <c r="J538" s="18"/>
      <c r="K538" s="18"/>
      <c r="L538" s="88">
        <f>SUM(F538:K538)</f>
        <v>8666.39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26261.8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26261.8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787559.88</v>
      </c>
      <c r="I541" s="18"/>
      <c r="J541" s="18"/>
      <c r="K541" s="18"/>
      <c r="L541" s="88">
        <f>SUM(F541:K541)</f>
        <v>787559.88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105007.98</v>
      </c>
      <c r="I542" s="18"/>
      <c r="J542" s="18"/>
      <c r="K542" s="18"/>
      <c r="L542" s="88">
        <f>SUM(F542:K542)</f>
        <v>105007.98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157511.98000000001</v>
      </c>
      <c r="I543" s="18"/>
      <c r="J543" s="18"/>
      <c r="K543" s="18"/>
      <c r="L543" s="88">
        <f>SUM(F543:K543)</f>
        <v>157511.98000000001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1050079.8400000001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1050079.8400000001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10529600.32</v>
      </c>
      <c r="G545" s="89">
        <f t="shared" ref="G545:L545" si="42">G524+G529+G534+G539+G544</f>
        <v>5121597.595648</v>
      </c>
      <c r="H545" s="89">
        <f t="shared" si="42"/>
        <v>3042354.9000000004</v>
      </c>
      <c r="I545" s="89">
        <f t="shared" si="42"/>
        <v>50272.529999999992</v>
      </c>
      <c r="J545" s="89">
        <f t="shared" si="42"/>
        <v>52911.829999999994</v>
      </c>
      <c r="K545" s="89">
        <f t="shared" si="42"/>
        <v>2228.9899999999998</v>
      </c>
      <c r="L545" s="89">
        <f t="shared" si="42"/>
        <v>18798966.165647998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6541741.887968</v>
      </c>
      <c r="G549" s="87">
        <f>L526</f>
        <v>2365197.6811680007</v>
      </c>
      <c r="H549" s="87">
        <f>L531</f>
        <v>530679.26107199991</v>
      </c>
      <c r="I549" s="87">
        <f>L536</f>
        <v>11029.96</v>
      </c>
      <c r="J549" s="87">
        <f>L541</f>
        <v>787559.88</v>
      </c>
      <c r="K549" s="87">
        <f>SUM(F549:J549)</f>
        <v>10236208.670208003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2888473.4876800003</v>
      </c>
      <c r="G550" s="87">
        <f>L527</f>
        <v>572139.41182400007</v>
      </c>
      <c r="H550" s="87">
        <f>L532</f>
        <v>256336.82943999997</v>
      </c>
      <c r="I550" s="87">
        <f>L537</f>
        <v>6565.45</v>
      </c>
      <c r="J550" s="87">
        <f>L542</f>
        <v>105007.98</v>
      </c>
      <c r="K550" s="87">
        <f>SUM(F550:J550)</f>
        <v>3828523.1589440005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3821729.2596800001</v>
      </c>
      <c r="G551" s="87">
        <f>L528</f>
        <v>449474.41030399996</v>
      </c>
      <c r="H551" s="87">
        <f>L533</f>
        <v>296852.29651200003</v>
      </c>
      <c r="I551" s="87">
        <f>L538</f>
        <v>8666.39</v>
      </c>
      <c r="J551" s="87">
        <f>L543</f>
        <v>157511.98000000001</v>
      </c>
      <c r="K551" s="87">
        <f>SUM(F551:J551)</f>
        <v>4734234.3364960002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13251944.635327999</v>
      </c>
      <c r="G552" s="89">
        <f t="shared" si="43"/>
        <v>3386811.5032960009</v>
      </c>
      <c r="H552" s="89">
        <f t="shared" si="43"/>
        <v>1083868.3870239998</v>
      </c>
      <c r="I552" s="89">
        <f t="shared" si="43"/>
        <v>26261.8</v>
      </c>
      <c r="J552" s="89">
        <f t="shared" si="43"/>
        <v>1050079.8400000001</v>
      </c>
      <c r="K552" s="89">
        <f t="shared" si="43"/>
        <v>18798966.165648002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41470.379999999997</v>
      </c>
      <c r="G562" s="18">
        <f>F562*0.4864</f>
        <v>20171.192831999997</v>
      </c>
      <c r="H562" s="18"/>
      <c r="I562" s="18">
        <v>72.88</v>
      </c>
      <c r="J562" s="18"/>
      <c r="K562" s="18"/>
      <c r="L562" s="88">
        <f>SUM(F562:K562)</f>
        <v>61714.452831999988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38685.919999999998</v>
      </c>
      <c r="G563" s="18">
        <f t="shared" ref="G563:G564" si="45">F563*0.4864</f>
        <v>18816.831488</v>
      </c>
      <c r="H563" s="18"/>
      <c r="I563" s="18">
        <v>37.29</v>
      </c>
      <c r="J563" s="18"/>
      <c r="K563" s="18"/>
      <c r="L563" s="88">
        <f>SUM(F563:K563)</f>
        <v>57540.041487999995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48251.06</v>
      </c>
      <c r="G564" s="18">
        <f t="shared" si="45"/>
        <v>23469.315584</v>
      </c>
      <c r="H564" s="18"/>
      <c r="I564" s="18">
        <f>59.32-0.01</f>
        <v>59.31</v>
      </c>
      <c r="J564" s="18"/>
      <c r="K564" s="18"/>
      <c r="L564" s="88">
        <f>SUM(F564:K564)</f>
        <v>71779.685583999992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6">SUM(F562:F564)</f>
        <v>128407.35999999999</v>
      </c>
      <c r="G565" s="89">
        <f t="shared" si="46"/>
        <v>62457.339903999993</v>
      </c>
      <c r="H565" s="89">
        <f t="shared" si="46"/>
        <v>0</v>
      </c>
      <c r="I565" s="89">
        <f t="shared" si="46"/>
        <v>169.48</v>
      </c>
      <c r="J565" s="89">
        <f t="shared" si="46"/>
        <v>0</v>
      </c>
      <c r="K565" s="89">
        <f t="shared" si="46"/>
        <v>0</v>
      </c>
      <c r="L565" s="89">
        <f t="shared" si="46"/>
        <v>191034.17990399996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f>345924.2+5619.5</f>
        <v>351543.7</v>
      </c>
      <c r="G567" s="18">
        <f>F567*0.4864</f>
        <v>170990.85568000001</v>
      </c>
      <c r="H567" s="18">
        <v>2500</v>
      </c>
      <c r="I567" s="18">
        <v>1176.1600000000001</v>
      </c>
      <c r="J567" s="18"/>
      <c r="K567" s="18">
        <v>3078.5</v>
      </c>
      <c r="L567" s="88">
        <f>SUM(F567:K567)</f>
        <v>529289.21568000002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f>123598.02+5619.5</f>
        <v>129217.52</v>
      </c>
      <c r="G568" s="18">
        <f>F568*0.4864</f>
        <v>62851.401728000004</v>
      </c>
      <c r="H568" s="18">
        <v>2500</v>
      </c>
      <c r="I568" s="18">
        <f>779+1176.15</f>
        <v>1955.15</v>
      </c>
      <c r="J568" s="18"/>
      <c r="K568" s="18">
        <v>3078.5</v>
      </c>
      <c r="L568" s="88">
        <f>SUM(F568:K568)</f>
        <v>199602.57172800001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480761.22000000003</v>
      </c>
      <c r="G570" s="193">
        <f t="shared" ref="G570:L570" si="47">SUM(G567:G569)</f>
        <v>233842.257408</v>
      </c>
      <c r="H570" s="193">
        <f t="shared" si="47"/>
        <v>5000</v>
      </c>
      <c r="I570" s="193">
        <f t="shared" si="47"/>
        <v>3131.3100000000004</v>
      </c>
      <c r="J570" s="193">
        <f t="shared" si="47"/>
        <v>0</v>
      </c>
      <c r="K570" s="193">
        <f t="shared" si="47"/>
        <v>6157</v>
      </c>
      <c r="L570" s="193">
        <f t="shared" si="47"/>
        <v>728891.78740800009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609168.58000000007</v>
      </c>
      <c r="G571" s="89">
        <f t="shared" ref="G571:L571" si="48">G560+G565+G570</f>
        <v>296299.597312</v>
      </c>
      <c r="H571" s="89">
        <f t="shared" si="48"/>
        <v>5000</v>
      </c>
      <c r="I571" s="89">
        <f t="shared" si="48"/>
        <v>3300.7900000000004</v>
      </c>
      <c r="J571" s="89">
        <f t="shared" si="48"/>
        <v>0</v>
      </c>
      <c r="K571" s="89">
        <f t="shared" si="48"/>
        <v>6157</v>
      </c>
      <c r="L571" s="89">
        <f t="shared" si="48"/>
        <v>919925.96731199999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9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9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1994</v>
      </c>
      <c r="I580" s="87">
        <f t="shared" si="49"/>
        <v>1994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9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353021+480</f>
        <v>353501</v>
      </c>
      <c r="G582" s="18">
        <f>501666.03</f>
        <v>501666.03</v>
      </c>
      <c r="H582" s="18">
        <f>627748.73+38939.09-4558.33</f>
        <v>662129.49</v>
      </c>
      <c r="I582" s="87">
        <f t="shared" si="49"/>
        <v>1517296.52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9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104903.71</v>
      </c>
      <c r="I584" s="87">
        <f t="shared" si="49"/>
        <v>104903.71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9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980584.88</v>
      </c>
      <c r="I591" s="18">
        <v>735438.66</v>
      </c>
      <c r="J591" s="18">
        <v>692133.07</v>
      </c>
      <c r="K591" s="104">
        <f t="shared" ref="K591:K597" si="50">SUM(H591:J591)</f>
        <v>2408156.61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787559.88</v>
      </c>
      <c r="I592" s="18">
        <v>105007.98</v>
      </c>
      <c r="J592" s="18">
        <v>157511.98000000001</v>
      </c>
      <c r="K592" s="104">
        <f t="shared" si="50"/>
        <v>1050079.8400000001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43305.599999999999</v>
      </c>
      <c r="K593" s="104">
        <f t="shared" si="50"/>
        <v>43305.599999999999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16824.09</v>
      </c>
      <c r="J594" s="18">
        <v>95854.48</v>
      </c>
      <c r="K594" s="104">
        <f t="shared" si="50"/>
        <v>112678.56999999999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>
        <v>871.55</v>
      </c>
      <c r="J595" s="18">
        <f>447.51+13769.28</f>
        <v>14216.79</v>
      </c>
      <c r="K595" s="104">
        <f t="shared" si="50"/>
        <v>15088.34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0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1768144.76</v>
      </c>
      <c r="I598" s="108">
        <f>SUM(I591:I597)</f>
        <v>858142.28</v>
      </c>
      <c r="J598" s="108">
        <f>SUM(J591:J597)</f>
        <v>1003021.9199999999</v>
      </c>
      <c r="K598" s="108">
        <f>SUM(K591:K597)</f>
        <v>3629308.96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265636.08+37626.29</f>
        <v>303262.37</v>
      </c>
      <c r="I604" s="18">
        <f>154177.42+2862.39</f>
        <v>157039.81000000003</v>
      </c>
      <c r="J604" s="18">
        <f>264287.81+4553.8+5049</f>
        <v>273890.61</v>
      </c>
      <c r="K604" s="104">
        <f>SUM(H604:J604)</f>
        <v>734192.79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303262.37</v>
      </c>
      <c r="I605" s="108">
        <f>SUM(I602:I604)</f>
        <v>157039.81000000003</v>
      </c>
      <c r="J605" s="108">
        <f>SUM(J602:J604)</f>
        <v>273890.61</v>
      </c>
      <c r="K605" s="108">
        <f>SUM(K602:K604)</f>
        <v>734192.79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7552.7+281.52</f>
        <v>7834.2199999999993</v>
      </c>
      <c r="G611" s="18">
        <f>F611*0.4864</f>
        <v>3810.5646079999997</v>
      </c>
      <c r="H611" s="18"/>
      <c r="I611" s="18">
        <f>352.05</f>
        <v>352.05</v>
      </c>
      <c r="J611" s="18"/>
      <c r="K611" s="18"/>
      <c r="L611" s="88">
        <f>SUM(F611:K611)</f>
        <v>11996.834607999997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f>7920</f>
        <v>7920</v>
      </c>
      <c r="G612" s="18">
        <f t="shared" ref="G612:G613" si="51">F612*0.4864</f>
        <v>3852.288</v>
      </c>
      <c r="H612" s="18"/>
      <c r="I612" s="18">
        <f>353.8</f>
        <v>353.8</v>
      </c>
      <c r="J612" s="18"/>
      <c r="K612" s="18"/>
      <c r="L612" s="88">
        <f>SUM(F612:K612)</f>
        <v>12126.088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f>26720</f>
        <v>26720</v>
      </c>
      <c r="G613" s="18">
        <f t="shared" si="51"/>
        <v>12996.608</v>
      </c>
      <c r="H613" s="18"/>
      <c r="I613" s="18">
        <f>1875</f>
        <v>1875</v>
      </c>
      <c r="J613" s="18"/>
      <c r="K613" s="18"/>
      <c r="L613" s="88">
        <f>SUM(F613:K613)</f>
        <v>41591.608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2">SUM(F611:F613)</f>
        <v>42474.22</v>
      </c>
      <c r="G614" s="108">
        <f t="shared" si="52"/>
        <v>20659.460608000001</v>
      </c>
      <c r="H614" s="108">
        <f t="shared" si="52"/>
        <v>0</v>
      </c>
      <c r="I614" s="108">
        <f t="shared" si="52"/>
        <v>2580.85</v>
      </c>
      <c r="J614" s="108">
        <f t="shared" si="52"/>
        <v>0</v>
      </c>
      <c r="K614" s="108">
        <f t="shared" si="52"/>
        <v>0</v>
      </c>
      <c r="L614" s="89">
        <f t="shared" si="52"/>
        <v>65714.530608000001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2353265.58</v>
      </c>
      <c r="H617" s="109">
        <f>SUM(F52)</f>
        <v>2353265.58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179425.24</v>
      </c>
      <c r="H618" s="109">
        <f>SUM(G52)</f>
        <v>179425.24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394104.97</v>
      </c>
      <c r="H619" s="109">
        <f>SUM(H52)</f>
        <v>394104.97000000003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341324.98000000004</v>
      </c>
      <c r="H621" s="109">
        <f>SUM(J52)</f>
        <v>341324.98000000004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1464547.1099999999</v>
      </c>
      <c r="H622" s="109">
        <f>F476</f>
        <v>1464547.1099999994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123376.86</v>
      </c>
      <c r="H623" s="109">
        <f>G476</f>
        <v>123376.85999999987</v>
      </c>
      <c r="I623" s="121" t="s">
        <v>102</v>
      </c>
      <c r="J623" s="109">
        <f t="shared" si="53"/>
        <v>1.3096723705530167E-10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18189.46</v>
      </c>
      <c r="H624" s="109">
        <f>H476</f>
        <v>18189.459999999963</v>
      </c>
      <c r="I624" s="121" t="s">
        <v>103</v>
      </c>
      <c r="J624" s="109">
        <f t="shared" si="53"/>
        <v>3.637978807091713E-11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341324.98000000004</v>
      </c>
      <c r="H626" s="109">
        <f>J476</f>
        <v>341324.98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74260671.710000008</v>
      </c>
      <c r="H627" s="104">
        <f>SUM(F468)</f>
        <v>74260671.709999993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1516970.45</v>
      </c>
      <c r="H628" s="104">
        <f>SUM(G468)</f>
        <v>1516970.45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1593820.1599999999</v>
      </c>
      <c r="H629" s="104">
        <f>SUM(H468)</f>
        <v>1593820.1599999999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777637.35</v>
      </c>
      <c r="H631" s="104">
        <f>SUM(J468)</f>
        <v>777637.35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73402197.88000001</v>
      </c>
      <c r="H632" s="104">
        <f>SUM(F472)</f>
        <v>73402197.879999995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1599298.7999999998</v>
      </c>
      <c r="H633" s="104">
        <f>SUM(H472)</f>
        <v>1599298.8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767386.74</v>
      </c>
      <c r="H634" s="104">
        <f>I369</f>
        <v>767386.74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1468948.62</v>
      </c>
      <c r="H635" s="104">
        <f>SUM(G472)</f>
        <v>1468948.62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450884.57999999996</v>
      </c>
      <c r="H636" s="104">
        <f>SUM(I472)</f>
        <v>450884.58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777637.35000000009</v>
      </c>
      <c r="H637" s="164">
        <f>SUM(J468)</f>
        <v>777637.35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845094.44</v>
      </c>
      <c r="H638" s="164">
        <f>SUM(J472)</f>
        <v>845094.44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69856.83</v>
      </c>
      <c r="H639" s="104">
        <f>SUM(F461)</f>
        <v>69856.83</v>
      </c>
      <c r="I639" s="140" t="s">
        <v>851</v>
      </c>
      <c r="J639" s="109">
        <f t="shared" si="53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271468.15000000002</v>
      </c>
      <c r="H640" s="104">
        <f>SUM(G461)</f>
        <v>271468.15000000002</v>
      </c>
      <c r="I640" s="140" t="s">
        <v>852</v>
      </c>
      <c r="J640" s="109">
        <f t="shared" si="53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3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341324.98000000004</v>
      </c>
      <c r="H642" s="104">
        <f>SUM(I461)</f>
        <v>341324.98000000004</v>
      </c>
      <c r="I642" s="140" t="s">
        <v>854</v>
      </c>
      <c r="J642" s="109">
        <f t="shared" si="53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3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2637.35</v>
      </c>
      <c r="H644" s="104">
        <f>H408</f>
        <v>2637.3500000000004</v>
      </c>
      <c r="I644" s="140" t="s">
        <v>478</v>
      </c>
      <c r="J644" s="109">
        <f t="shared" si="53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775000</v>
      </c>
      <c r="H645" s="104">
        <f>G408</f>
        <v>775000</v>
      </c>
      <c r="I645" s="140" t="s">
        <v>479</v>
      </c>
      <c r="J645" s="109">
        <f t="shared" si="53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777637.35</v>
      </c>
      <c r="H646" s="104">
        <f>L408</f>
        <v>777637.35000000009</v>
      </c>
      <c r="I646" s="140" t="s">
        <v>475</v>
      </c>
      <c r="J646" s="109">
        <f t="shared" si="53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3629308.96</v>
      </c>
      <c r="H647" s="104">
        <f>L208+L226+L244</f>
        <v>3629308.96</v>
      </c>
      <c r="I647" s="140" t="s">
        <v>394</v>
      </c>
      <c r="J647" s="109">
        <f t="shared" si="53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734192.79</v>
      </c>
      <c r="H648" s="104">
        <f>(J257+J338)-(J255+J336)</f>
        <v>734192.78999999992</v>
      </c>
      <c r="I648" s="140" t="s">
        <v>697</v>
      </c>
      <c r="J648" s="109">
        <f t="shared" si="53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1768144.76</v>
      </c>
      <c r="H649" s="104">
        <f>H598</f>
        <v>1768144.76</v>
      </c>
      <c r="I649" s="140" t="s">
        <v>386</v>
      </c>
      <c r="J649" s="109">
        <f t="shared" si="53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858142.28</v>
      </c>
      <c r="H650" s="104">
        <f>I598</f>
        <v>858142.28</v>
      </c>
      <c r="I650" s="140" t="s">
        <v>387</v>
      </c>
      <c r="J650" s="109">
        <f t="shared" si="53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1003021.92</v>
      </c>
      <c r="H651" s="104">
        <f>J598</f>
        <v>1003021.9199999999</v>
      </c>
      <c r="I651" s="140" t="s">
        <v>388</v>
      </c>
      <c r="J651" s="109">
        <f t="shared" si="53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56199.6</v>
      </c>
      <c r="H652" s="104">
        <f>K263+K345</f>
        <v>56199.6</v>
      </c>
      <c r="I652" s="140" t="s">
        <v>395</v>
      </c>
      <c r="J652" s="109">
        <f t="shared" si="53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3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3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775000</v>
      </c>
      <c r="H655" s="104">
        <f>K266+K347</f>
        <v>775000</v>
      </c>
      <c r="I655" s="140" t="s">
        <v>398</v>
      </c>
      <c r="J655" s="109">
        <f t="shared" si="53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31205674.899999999</v>
      </c>
      <c r="G660" s="19">
        <f>(L229+L309+L359)</f>
        <v>16288515.759999998</v>
      </c>
      <c r="H660" s="19">
        <f>(L247+L328+L360)</f>
        <v>25962928.68</v>
      </c>
      <c r="I660" s="19">
        <f>SUM(F660:H660)</f>
        <v>73457119.340000004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352680.98623282474</v>
      </c>
      <c r="G661" s="19">
        <f>(L359/IF(SUM(L358:L360)=0,1,SUM(L358:L360))*(SUM(G97:G110)))</f>
        <v>282529.6864419147</v>
      </c>
      <c r="H661" s="19">
        <f>(L360/IF(SUM(L358:L360)=0,1,SUM(L358:L360))*(SUM(G97:G110)))</f>
        <v>552817.70732526039</v>
      </c>
      <c r="I661" s="19">
        <f>SUM(F661:H661)</f>
        <v>1188028.3799999999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1768144.76</v>
      </c>
      <c r="G662" s="19">
        <f>(L226+L306)-(J226+J306)</f>
        <v>858142.28</v>
      </c>
      <c r="H662" s="19">
        <f>(L244+L325)-(J244+J325)</f>
        <v>1003021.92</v>
      </c>
      <c r="I662" s="19">
        <f>SUM(F662:H662)</f>
        <v>3629308.96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668760.204608</v>
      </c>
      <c r="G663" s="199">
        <f>SUM(G575:G587)+SUM(I602:I604)+L612</f>
        <v>670831.92800000007</v>
      </c>
      <c r="H663" s="199">
        <f>SUM(H575:H587)+SUM(J602:J604)+L613</f>
        <v>1084509.4179999998</v>
      </c>
      <c r="I663" s="19">
        <f>SUM(F663:H663)</f>
        <v>2424101.5506079998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28416088.949159175</v>
      </c>
      <c r="G664" s="19">
        <f>G660-SUM(G661:G663)</f>
        <v>14477011.865558084</v>
      </c>
      <c r="H664" s="19">
        <f>H660-SUM(H661:H663)</f>
        <v>23322579.634674739</v>
      </c>
      <c r="I664" s="19">
        <f>I660-SUM(I661:I663)</f>
        <v>66215680.449392006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1662.46</v>
      </c>
      <c r="G665" s="248">
        <v>968.6</v>
      </c>
      <c r="H665" s="248">
        <v>1484.76</v>
      </c>
      <c r="I665" s="19">
        <f>SUM(F665:H665)</f>
        <v>4115.82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17092.8</v>
      </c>
      <c r="G667" s="19">
        <f>ROUND(G664/G665,2)</f>
        <v>14946.33</v>
      </c>
      <c r="H667" s="19">
        <f>ROUND(H664/H665,2)</f>
        <v>15707.98</v>
      </c>
      <c r="I667" s="19">
        <f>ROUND(I664/I665,2)</f>
        <v>16088.09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-22.61</v>
      </c>
      <c r="I670" s="19">
        <f>SUM(F670:H670)</f>
        <v>-22.61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17092.8</v>
      </c>
      <c r="G672" s="19">
        <f>ROUND((G664+G669)/(G665+G670),2)</f>
        <v>14946.33</v>
      </c>
      <c r="H672" s="19">
        <f>ROUND((H664+H669)/(H665+H670),2)</f>
        <v>15950.88</v>
      </c>
      <c r="I672" s="19">
        <f>ROUND((I664+I669)/(I665+I670),2)</f>
        <v>16176.96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Londonderry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9" t="s">
        <v>778</v>
      </c>
      <c r="B3" s="279"/>
      <c r="C3" s="279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777</v>
      </c>
      <c r="C6" s="278"/>
    </row>
    <row r="7" spans="1:3" x14ac:dyDescent="0.2">
      <c r="A7" s="239" t="s">
        <v>780</v>
      </c>
      <c r="B7" s="276" t="s">
        <v>776</v>
      </c>
      <c r="C7" s="277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18625673.139999997</v>
      </c>
      <c r="C9" s="229">
        <f>'DOE25'!G197+'DOE25'!G215+'DOE25'!G233+'DOE25'!G276+'DOE25'!G295+'DOE25'!G314</f>
        <v>9628827.4700000007</v>
      </c>
    </row>
    <row r="10" spans="1:3" x14ac:dyDescent="0.2">
      <c r="A10" t="s">
        <v>773</v>
      </c>
      <c r="B10" s="240">
        <v>17736679.440000001</v>
      </c>
      <c r="C10" s="240">
        <f>C9*0.97</f>
        <v>9339962.6458999999</v>
      </c>
    </row>
    <row r="11" spans="1:3" x14ac:dyDescent="0.2">
      <c r="A11" t="s">
        <v>774</v>
      </c>
      <c r="B11" s="240">
        <f>365725-9844.45</f>
        <v>355880.55</v>
      </c>
      <c r="C11" s="240">
        <f>C9*0.02</f>
        <v>192576.54940000002</v>
      </c>
    </row>
    <row r="12" spans="1:3" x14ac:dyDescent="0.2">
      <c r="A12" t="s">
        <v>775</v>
      </c>
      <c r="B12" s="240">
        <f>523268.71+9844.45-0.01</f>
        <v>533113.15</v>
      </c>
      <c r="C12" s="240">
        <f>C9*0.01</f>
        <v>96288.274700000009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18625673.140000001</v>
      </c>
      <c r="C13" s="231">
        <f>SUM(C10:C12)</f>
        <v>9628827.4700000007</v>
      </c>
    </row>
    <row r="14" spans="1:3" x14ac:dyDescent="0.2">
      <c r="B14" s="230"/>
      <c r="C14" s="230"/>
    </row>
    <row r="15" spans="1:3" x14ac:dyDescent="0.2">
      <c r="B15" s="278" t="s">
        <v>777</v>
      </c>
      <c r="C15" s="278"/>
    </row>
    <row r="16" spans="1:3" x14ac:dyDescent="0.2">
      <c r="A16" s="239" t="s">
        <v>781</v>
      </c>
      <c r="B16" s="276" t="s">
        <v>701</v>
      </c>
      <c r="C16" s="277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8798137.0299999993</v>
      </c>
      <c r="C18" s="229">
        <f>'DOE25'!G198+'DOE25'!G216+'DOE25'!G234+'DOE25'!G277+'DOE25'!G296+'DOE25'!G315</f>
        <v>4464675.84</v>
      </c>
    </row>
    <row r="19" spans="1:3" x14ac:dyDescent="0.2">
      <c r="A19" t="s">
        <v>773</v>
      </c>
      <c r="B19" s="240">
        <f>5834421.84-159263.45-89772.02-99236.02+11239</f>
        <v>5497389.3500000006</v>
      </c>
      <c r="C19" s="240">
        <f>C18*0.68</f>
        <v>3035979.5712000001</v>
      </c>
    </row>
    <row r="20" spans="1:3" x14ac:dyDescent="0.2">
      <c r="A20" t="s">
        <v>774</v>
      </c>
      <c r="B20" s="240">
        <f>2888642.39-31571.88-21942.92-25592-27613.94-28492.91-28945.6</f>
        <v>2724483.14</v>
      </c>
      <c r="C20" s="240">
        <f>C18*0.265</f>
        <v>1183139.0976</v>
      </c>
    </row>
    <row r="21" spans="1:3" x14ac:dyDescent="0.2">
      <c r="A21" t="s">
        <v>775</v>
      </c>
      <c r="B21" s="240">
        <f>21137.39+42696.4+159263.45+89772.02+99236.02+31571.88+21942.92+25592+27613.94+28492.91+28945.6+0.01</f>
        <v>576264.54</v>
      </c>
      <c r="C21" s="240">
        <f>C18*0.055</f>
        <v>245557.17119999998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8798137.0300000012</v>
      </c>
      <c r="C22" s="231">
        <f>SUM(C19:C21)</f>
        <v>4464675.84</v>
      </c>
    </row>
    <row r="23" spans="1:3" x14ac:dyDescent="0.2">
      <c r="B23" s="230"/>
      <c r="C23" s="230"/>
    </row>
    <row r="24" spans="1:3" x14ac:dyDescent="0.2">
      <c r="B24" s="278" t="s">
        <v>777</v>
      </c>
      <c r="C24" s="278"/>
    </row>
    <row r="25" spans="1:3" x14ac:dyDescent="0.2">
      <c r="A25" s="239" t="s">
        <v>782</v>
      </c>
      <c r="B25" s="276" t="s">
        <v>702</v>
      </c>
      <c r="C25" s="277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777</v>
      </c>
      <c r="C33" s="278"/>
    </row>
    <row r="34" spans="1:3" x14ac:dyDescent="0.2">
      <c r="A34" s="239" t="s">
        <v>783</v>
      </c>
      <c r="B34" s="276" t="s">
        <v>703</v>
      </c>
      <c r="C34" s="277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963263.31</v>
      </c>
      <c r="C36" s="235">
        <f>'DOE25'!G200+'DOE25'!G218+'DOE25'!G236+'DOE25'!G279+'DOE25'!G298+'DOE25'!G317</f>
        <v>483406.4</v>
      </c>
    </row>
    <row r="37" spans="1:3" x14ac:dyDescent="0.2">
      <c r="A37" t="s">
        <v>773</v>
      </c>
      <c r="B37" s="240">
        <f>281.52+7920+26720+108210.13+16207.44</f>
        <v>159339.09000000003</v>
      </c>
      <c r="C37" s="240">
        <f>C36*0.18</f>
        <v>87013.152000000002</v>
      </c>
    </row>
    <row r="38" spans="1:3" x14ac:dyDescent="0.2">
      <c r="A38" t="s">
        <v>774</v>
      </c>
      <c r="B38" s="240">
        <f>22973.13+68918.93+112337.94</f>
        <v>204230</v>
      </c>
      <c r="C38" s="240"/>
    </row>
    <row r="39" spans="1:3" x14ac:dyDescent="0.2">
      <c r="A39" t="s">
        <v>775</v>
      </c>
      <c r="B39" s="240">
        <f>17484.94+3682+3682+5182+1062+13025.46+12023.56+12025.06+46674+84400+12593.5+74977+305330+7552.7</f>
        <v>599694.22</v>
      </c>
      <c r="C39" s="240">
        <f>C36*0.82</f>
        <v>396393.24800000002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963263.31</v>
      </c>
      <c r="C40" s="231">
        <f>SUM(C37:C39)</f>
        <v>483406.4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784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711</v>
      </c>
      <c r="B2" s="265" t="str">
        <f>'DOE25'!A2</f>
        <v>Londonderry School District</v>
      </c>
      <c r="C2" s="181"/>
      <c r="D2" s="181" t="s">
        <v>786</v>
      </c>
      <c r="E2" s="181" t="s">
        <v>788</v>
      </c>
      <c r="F2" s="280" t="s">
        <v>815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44720779.009999998</v>
      </c>
      <c r="D5" s="20">
        <f>SUM('DOE25'!L197:L200)+SUM('DOE25'!L215:L218)+SUM('DOE25'!L233:L236)-F5-G5</f>
        <v>44512904.899999999</v>
      </c>
      <c r="E5" s="243"/>
      <c r="F5" s="255">
        <f>SUM('DOE25'!J197:J200)+SUM('DOE25'!J215:J218)+SUM('DOE25'!J233:J236)</f>
        <v>151772.25</v>
      </c>
      <c r="G5" s="53">
        <f>SUM('DOE25'!K197:K200)+SUM('DOE25'!K215:K218)+SUM('DOE25'!K233:K236)</f>
        <v>56101.86</v>
      </c>
      <c r="H5" s="259"/>
    </row>
    <row r="6" spans="1:9" x14ac:dyDescent="0.2">
      <c r="A6" s="32">
        <v>2100</v>
      </c>
      <c r="B6" t="s">
        <v>795</v>
      </c>
      <c r="C6" s="245">
        <f t="shared" si="0"/>
        <v>6213895.9200000009</v>
      </c>
      <c r="D6" s="20">
        <f>'DOE25'!L202+'DOE25'!L220+'DOE25'!L238-F6-G6</f>
        <v>6209590.6700000009</v>
      </c>
      <c r="E6" s="243"/>
      <c r="F6" s="255">
        <f>'DOE25'!J202+'DOE25'!J220+'DOE25'!J238</f>
        <v>0</v>
      </c>
      <c r="G6" s="53">
        <f>'DOE25'!K202+'DOE25'!K220+'DOE25'!K238</f>
        <v>4305.25</v>
      </c>
      <c r="H6" s="259"/>
    </row>
    <row r="7" spans="1:9" x14ac:dyDescent="0.2">
      <c r="A7" s="32">
        <v>2200</v>
      </c>
      <c r="B7" t="s">
        <v>828</v>
      </c>
      <c r="C7" s="245">
        <f t="shared" si="0"/>
        <v>1734793.28</v>
      </c>
      <c r="D7" s="20">
        <f>'DOE25'!L203+'DOE25'!L221+'DOE25'!L239-F7-G7</f>
        <v>1726063.61</v>
      </c>
      <c r="E7" s="243"/>
      <c r="F7" s="255">
        <f>'DOE25'!J203+'DOE25'!J221+'DOE25'!J239</f>
        <v>6837.67</v>
      </c>
      <c r="G7" s="53">
        <f>'DOE25'!K203+'DOE25'!K221+'DOE25'!K239</f>
        <v>1892</v>
      </c>
      <c r="H7" s="259"/>
    </row>
    <row r="8" spans="1:9" x14ac:dyDescent="0.2">
      <c r="A8" s="32">
        <v>2300</v>
      </c>
      <c r="B8" t="s">
        <v>796</v>
      </c>
      <c r="C8" s="245">
        <f t="shared" si="0"/>
        <v>483212.11999999982</v>
      </c>
      <c r="D8" s="243"/>
      <c r="E8" s="20">
        <f>'DOE25'!L204+'DOE25'!L222+'DOE25'!L240-F8-G8-D9-D11</f>
        <v>442795.41999999981</v>
      </c>
      <c r="F8" s="255">
        <f>'DOE25'!J204+'DOE25'!J222+'DOE25'!J240</f>
        <v>22784.959999999999</v>
      </c>
      <c r="G8" s="53">
        <f>'DOE25'!K204+'DOE25'!K222+'DOE25'!K240</f>
        <v>17631.739999999998</v>
      </c>
      <c r="H8" s="259"/>
    </row>
    <row r="9" spans="1:9" x14ac:dyDescent="0.2">
      <c r="A9" s="32">
        <v>2310</v>
      </c>
      <c r="B9" t="s">
        <v>812</v>
      </c>
      <c r="C9" s="245">
        <f t="shared" si="0"/>
        <v>40521.1</v>
      </c>
      <c r="D9" s="244">
        <v>40521.1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27480.240000000002</v>
      </c>
      <c r="D10" s="243"/>
      <c r="E10" s="244">
        <v>27480.240000000002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628382.43000000005</v>
      </c>
      <c r="D11" s="244">
        <v>628382.43000000005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3547399.96</v>
      </c>
      <c r="D12" s="20">
        <f>'DOE25'!L205+'DOE25'!L223+'DOE25'!L241-F12-G12</f>
        <v>3531920.12</v>
      </c>
      <c r="E12" s="243"/>
      <c r="F12" s="255">
        <f>'DOE25'!J205+'DOE25'!J223+'DOE25'!J241</f>
        <v>0</v>
      </c>
      <c r="G12" s="53">
        <f>'DOE25'!K205+'DOE25'!K223+'DOE25'!K241</f>
        <v>15479.84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1070629.8899999999</v>
      </c>
      <c r="D13" s="243"/>
      <c r="E13" s="20">
        <f>'DOE25'!L206+'DOE25'!L224+'DOE25'!L242-F13-G13</f>
        <v>1070629.8899999999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6760551.9199999999</v>
      </c>
      <c r="D14" s="20">
        <f>'DOE25'!L207+'DOE25'!L225+'DOE25'!L243-F14-G14</f>
        <v>6645511.6799999997</v>
      </c>
      <c r="E14" s="243"/>
      <c r="F14" s="255">
        <f>'DOE25'!J207+'DOE25'!J225+'DOE25'!J243</f>
        <v>114380.24</v>
      </c>
      <c r="G14" s="53">
        <f>'DOE25'!K207+'DOE25'!K225+'DOE25'!K243</f>
        <v>660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3629308.96</v>
      </c>
      <c r="D15" s="20">
        <f>'DOE25'!L208+'DOE25'!L226+'DOE25'!L244-F15-G15</f>
        <v>3629308.96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1599388.5</v>
      </c>
      <c r="D16" s="243"/>
      <c r="E16" s="20">
        <f>'DOE25'!L209+'DOE25'!L227+'DOE25'!L245-F16-G16</f>
        <v>1211062.31</v>
      </c>
      <c r="F16" s="255">
        <f>'DOE25'!J209+'DOE25'!J227+'DOE25'!J245</f>
        <v>388326.19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53247.899999999994</v>
      </c>
      <c r="D17" s="20">
        <f>'DOE25'!L251-F17-G17</f>
        <v>53247.899999999994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2084328.96</v>
      </c>
      <c r="D25" s="243"/>
      <c r="E25" s="243"/>
      <c r="F25" s="258"/>
      <c r="G25" s="256"/>
      <c r="H25" s="257">
        <f>'DOE25'!L260+'DOE25'!L261+'DOE25'!L341+'DOE25'!L342</f>
        <v>2084328.96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795912.38000000012</v>
      </c>
      <c r="D29" s="20">
        <f>'DOE25'!L358+'DOE25'!L359+'DOE25'!L360-'DOE25'!I367-F29-G29</f>
        <v>735275.28000000014</v>
      </c>
      <c r="E29" s="243"/>
      <c r="F29" s="255">
        <f>'DOE25'!J358+'DOE25'!J359+'DOE25'!J360</f>
        <v>43470</v>
      </c>
      <c r="G29" s="53">
        <f>'DOE25'!K358+'DOE25'!K359+'DOE25'!K360</f>
        <v>17167.099999999999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1599298.7999999998</v>
      </c>
      <c r="D31" s="20">
        <f>'DOE25'!L290+'DOE25'!L309+'DOE25'!L328+'DOE25'!L333+'DOE25'!L334+'DOE25'!L335-F31-G31</f>
        <v>1549207.3199999998</v>
      </c>
      <c r="E31" s="243"/>
      <c r="F31" s="255">
        <f>'DOE25'!J290+'DOE25'!J309+'DOE25'!J328+'DOE25'!J333+'DOE25'!J334+'DOE25'!J335</f>
        <v>50091.48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69261933.969999984</v>
      </c>
      <c r="E33" s="246">
        <f>SUM(E5:E31)</f>
        <v>2751967.86</v>
      </c>
      <c r="F33" s="246">
        <f>SUM(F5:F31)</f>
        <v>777662.79</v>
      </c>
      <c r="G33" s="246">
        <f>SUM(G5:G31)</f>
        <v>113237.79000000001</v>
      </c>
      <c r="H33" s="246">
        <f>SUM(H5:H31)</f>
        <v>2084328.96</v>
      </c>
    </row>
    <row r="35" spans="2:8" ht="12" thickBot="1" x14ac:dyDescent="0.25">
      <c r="B35" s="253" t="s">
        <v>841</v>
      </c>
      <c r="D35" s="254">
        <f>E33</f>
        <v>2751967.86</v>
      </c>
      <c r="E35" s="249"/>
    </row>
    <row r="36" spans="2:8" ht="12" thickTop="1" x14ac:dyDescent="0.2">
      <c r="B36" t="s">
        <v>809</v>
      </c>
      <c r="D36" s="20">
        <f>D33</f>
        <v>69261933.969999984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Londonderry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2068319.08</v>
      </c>
      <c r="D8" s="95">
        <f>'DOE25'!G9</f>
        <v>5900</v>
      </c>
      <c r="E8" s="95">
        <f>'DOE25'!H9</f>
        <v>0</v>
      </c>
      <c r="F8" s="95">
        <f>'DOE25'!I9</f>
        <v>0</v>
      </c>
      <c r="G8" s="95">
        <f>'DOE25'!J9</f>
        <v>341324.98000000004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220561.1</v>
      </c>
      <c r="D11" s="95">
        <f>'DOE25'!G12</f>
        <v>88379.94</v>
      </c>
      <c r="E11" s="95">
        <f>'DOE25'!H12</f>
        <v>394104.97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18867.740000000002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17079</v>
      </c>
      <c r="D13" s="95">
        <f>'DOE25'!G14</f>
        <v>31370.76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31950.9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47306.400000000001</v>
      </c>
      <c r="D16" s="95">
        <f>'DOE25'!G17</f>
        <v>2955.9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2353265.58</v>
      </c>
      <c r="D18" s="41">
        <f>SUM(D8:D17)</f>
        <v>179425.24</v>
      </c>
      <c r="E18" s="41">
        <f>SUM(E8:E17)</f>
        <v>394104.97</v>
      </c>
      <c r="F18" s="41">
        <f>SUM(F8:F17)</f>
        <v>0</v>
      </c>
      <c r="G18" s="41">
        <f>SUM(G8:G17)</f>
        <v>341324.98000000004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308941.03999999998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244754.72</v>
      </c>
      <c r="D23" s="95">
        <f>'DOE25'!G24</f>
        <v>44898.45</v>
      </c>
      <c r="E23" s="95">
        <f>'DOE25'!H24</f>
        <v>38.520000000000003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465551.37</v>
      </c>
      <c r="D27" s="95">
        <f>'DOE25'!G28</f>
        <v>11149.93</v>
      </c>
      <c r="E27" s="95">
        <f>'DOE25'!H28</f>
        <v>6764.95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177452.38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960</v>
      </c>
      <c r="D30" s="95">
        <f>'DOE25'!G31</f>
        <v>0</v>
      </c>
      <c r="E30" s="95">
        <f>'DOE25'!H31</f>
        <v>60171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888718.47</v>
      </c>
      <c r="D31" s="41">
        <f>SUM(D21:D30)</f>
        <v>56048.38</v>
      </c>
      <c r="E31" s="41">
        <f>SUM(E21:E30)</f>
        <v>375915.51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31950.9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47306.400000000001</v>
      </c>
      <c r="D35" s="95">
        <f>'DOE25'!G36</f>
        <v>2955.9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203321</v>
      </c>
      <c r="D42" s="95">
        <f>'DOE25'!G43</f>
        <v>0</v>
      </c>
      <c r="E42" s="95">
        <f>'DOE25'!H43</f>
        <v>18189.46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802810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88470.06</v>
      </c>
      <c r="E47" s="95">
        <f>'DOE25'!H48</f>
        <v>0</v>
      </c>
      <c r="F47" s="95">
        <f>'DOE25'!I48</f>
        <v>0</v>
      </c>
      <c r="G47" s="95">
        <f>'DOE25'!J48</f>
        <v>341324.98000000004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261109.71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1464547.1099999999</v>
      </c>
      <c r="D50" s="41">
        <f>SUM(D34:D49)</f>
        <v>123376.86</v>
      </c>
      <c r="E50" s="41">
        <f>SUM(E34:E49)</f>
        <v>18189.46</v>
      </c>
      <c r="F50" s="41">
        <f>SUM(F34:F49)</f>
        <v>0</v>
      </c>
      <c r="G50" s="41">
        <f>SUM(G34:G49)</f>
        <v>341324.98000000004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2353265.58</v>
      </c>
      <c r="D51" s="41">
        <f>D50+D31</f>
        <v>179425.24</v>
      </c>
      <c r="E51" s="41">
        <f>E50+E31</f>
        <v>394104.97000000003</v>
      </c>
      <c r="F51" s="41">
        <f>F50+F31</f>
        <v>0</v>
      </c>
      <c r="G51" s="41">
        <f>G50+G31</f>
        <v>341324.98000000004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52645485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1049522.5899999999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16611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12171.89</v>
      </c>
      <c r="D59" s="95">
        <f>'DOE25'!G96</f>
        <v>85.55</v>
      </c>
      <c r="E59" s="95">
        <f>'DOE25'!H96</f>
        <v>0</v>
      </c>
      <c r="F59" s="95">
        <f>'DOE25'!I96</f>
        <v>0</v>
      </c>
      <c r="G59" s="95">
        <f>'DOE25'!J96</f>
        <v>2637.35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1122535.81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118855.81</v>
      </c>
      <c r="D61" s="95">
        <f>SUM('DOE25'!G98:G110)</f>
        <v>65492.570000000007</v>
      </c>
      <c r="E61" s="95">
        <f>SUM('DOE25'!H98:H110)</f>
        <v>22018.18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1197161.2899999998</v>
      </c>
      <c r="D62" s="130">
        <f>SUM(D57:D61)</f>
        <v>1188113.9300000002</v>
      </c>
      <c r="E62" s="130">
        <f>SUM(E57:E61)</f>
        <v>22018.18</v>
      </c>
      <c r="F62" s="130">
        <f>SUM(F57:F61)</f>
        <v>0</v>
      </c>
      <c r="G62" s="130">
        <f>SUM(G57:G61)</f>
        <v>2637.35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53842646.289999999</v>
      </c>
      <c r="D63" s="22">
        <f>D56+D62</f>
        <v>1188113.9300000002</v>
      </c>
      <c r="E63" s="22">
        <f>E56+E62</f>
        <v>22018.18</v>
      </c>
      <c r="F63" s="22">
        <f>F56+F62</f>
        <v>0</v>
      </c>
      <c r="G63" s="22">
        <f>G56+G62</f>
        <v>2637.35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11240123.34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6958849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56025.909999999996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18254998.25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479694.5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254931.08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28442.7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15300.95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763068.27999999991</v>
      </c>
      <c r="D78" s="130">
        <f>SUM(D72:D77)</f>
        <v>15300.95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19018066.530000001</v>
      </c>
      <c r="D81" s="130">
        <f>SUM(D79:D80)+D78+D70</f>
        <v>15300.95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490499.92</v>
      </c>
      <c r="D88" s="95">
        <f>SUM('DOE25'!G153:G161)</f>
        <v>257355.97</v>
      </c>
      <c r="E88" s="95">
        <f>SUM('DOE25'!H153:H161)</f>
        <v>1571801.98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490499.92</v>
      </c>
      <c r="D91" s="131">
        <f>SUM(D85:D90)</f>
        <v>257355.97</v>
      </c>
      <c r="E91" s="131">
        <f>SUM(E85:E90)</f>
        <v>1571801.98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56199.6</v>
      </c>
      <c r="E96" s="95">
        <f>'DOE25'!H179</f>
        <v>0</v>
      </c>
      <c r="F96" s="95">
        <f>'DOE25'!I179</f>
        <v>0</v>
      </c>
      <c r="G96" s="95">
        <f>'DOE25'!J179</f>
        <v>775000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64364.53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108628.45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736465.99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909458.97</v>
      </c>
      <c r="D103" s="86">
        <f>SUM(D93:D102)</f>
        <v>56199.6</v>
      </c>
      <c r="E103" s="86">
        <f>SUM(E93:E102)</f>
        <v>0</v>
      </c>
      <c r="F103" s="86">
        <f>SUM(F93:F102)</f>
        <v>0</v>
      </c>
      <c r="G103" s="86">
        <f>SUM(G93:G102)</f>
        <v>775000</v>
      </c>
    </row>
    <row r="104" spans="1:7" ht="12.75" thickTop="1" thickBot="1" x14ac:dyDescent="0.25">
      <c r="A104" s="33" t="s">
        <v>759</v>
      </c>
      <c r="C104" s="86">
        <f>C63+C81+C91+C103</f>
        <v>74260671.709999993</v>
      </c>
      <c r="D104" s="86">
        <f>D63+D81+D91+D103</f>
        <v>1516970.4500000002</v>
      </c>
      <c r="E104" s="86">
        <f>E63+E81+E91+E103</f>
        <v>1593820.1599999999</v>
      </c>
      <c r="F104" s="86">
        <f>F63+F81+F91+F103</f>
        <v>0</v>
      </c>
      <c r="G104" s="86">
        <f>G63+G81+G103</f>
        <v>777637.35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28844804.979999997</v>
      </c>
      <c r="D109" s="24" t="s">
        <v>286</v>
      </c>
      <c r="E109" s="95">
        <f>('DOE25'!L276)+('DOE25'!L295)+('DOE25'!L314)</f>
        <v>352854.87999999995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14042986.74</v>
      </c>
      <c r="D110" s="24" t="s">
        <v>286</v>
      </c>
      <c r="E110" s="95">
        <f>('DOE25'!L277)+('DOE25'!L296)+('DOE25'!L315)</f>
        <v>916586.16999999993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104903.71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1728083.58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53247.899999999994</v>
      </c>
      <c r="D114" s="24" t="s">
        <v>286</v>
      </c>
      <c r="E114" s="95">
        <f>+ SUM('DOE25'!L333:L335)</f>
        <v>39991.17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44774026.909999996</v>
      </c>
      <c r="D115" s="86">
        <f>SUM(D109:D114)</f>
        <v>0</v>
      </c>
      <c r="E115" s="86">
        <f>SUM(E109:E114)</f>
        <v>1309432.2199999997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6213895.9200000009</v>
      </c>
      <c r="D118" s="24" t="s">
        <v>286</v>
      </c>
      <c r="E118" s="95">
        <f>+('DOE25'!L281)+('DOE25'!L300)+('DOE25'!L319)</f>
        <v>181573.41999999998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1734793.28</v>
      </c>
      <c r="D119" s="24" t="s">
        <v>286</v>
      </c>
      <c r="E119" s="95">
        <f>+('DOE25'!L282)+('DOE25'!L301)+('DOE25'!L320)</f>
        <v>108293.15999999999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1152115.6499999999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3547399.96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1070629.8899999999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6760551.9199999999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3629308.96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1599388.5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1468948.62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25708084.080000006</v>
      </c>
      <c r="D128" s="86">
        <f>SUM(D118:D127)</f>
        <v>1468948.62</v>
      </c>
      <c r="E128" s="86">
        <f>SUM(E118:E127)</f>
        <v>289866.57999999996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386520.05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1660000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424328.96000000002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64364.53</v>
      </c>
      <c r="G134" s="95">
        <f>'DOE25'!K434</f>
        <v>845094.44</v>
      </c>
    </row>
    <row r="135" spans="1:7" x14ac:dyDescent="0.2">
      <c r="A135" t="s">
        <v>233</v>
      </c>
      <c r="B135" s="32" t="s">
        <v>234</v>
      </c>
      <c r="C135" s="95">
        <f>'DOE25'!L263</f>
        <v>56199.6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125510.5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652126.85000000009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-2637.3500000000931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4558.33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2920086.89</v>
      </c>
      <c r="D144" s="141">
        <f>SUM(D130:D143)</f>
        <v>0</v>
      </c>
      <c r="E144" s="141">
        <f>SUM(E130:E143)</f>
        <v>0</v>
      </c>
      <c r="F144" s="141">
        <f>SUM(F130:F143)</f>
        <v>450884.57999999996</v>
      </c>
      <c r="G144" s="141">
        <f>SUM(G130:G143)</f>
        <v>845094.44</v>
      </c>
    </row>
    <row r="145" spans="1:9" ht="12.75" thickTop="1" thickBot="1" x14ac:dyDescent="0.25">
      <c r="A145" s="33" t="s">
        <v>244</v>
      </c>
      <c r="C145" s="86">
        <f>(C115+C128+C144)</f>
        <v>73402197.88000001</v>
      </c>
      <c r="D145" s="86">
        <f>(D115+D128+D144)</f>
        <v>1468948.62</v>
      </c>
      <c r="E145" s="86">
        <f>(E115+E128+E144)</f>
        <v>1599298.7999999998</v>
      </c>
      <c r="F145" s="86">
        <f>(F115+F128+F144)</f>
        <v>450884.57999999996</v>
      </c>
      <c r="G145" s="86">
        <f>(G115+G128+G144)</f>
        <v>845094.44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 t="str">
        <f>'DOE25'!H490</f>
        <v>20 refunded</v>
      </c>
      <c r="E151" s="153">
        <f>'DOE25'!I490</f>
        <v>12</v>
      </c>
      <c r="F151" s="153">
        <f>'DOE25'!J490</f>
        <v>10</v>
      </c>
      <c r="G151" s="24" t="s">
        <v>286</v>
      </c>
    </row>
    <row r="152" spans="1:9" x14ac:dyDescent="0.2">
      <c r="A152" s="136" t="s">
        <v>28</v>
      </c>
      <c r="B152" s="152" t="str">
        <f>'DOE25'!F491</f>
        <v>04/02</v>
      </c>
      <c r="C152" s="152" t="str">
        <f>'DOE25'!G491</f>
        <v>05/2017</v>
      </c>
      <c r="D152" s="152" t="str">
        <f>'DOE25'!H491</f>
        <v>07/08</v>
      </c>
      <c r="E152" s="152" t="str">
        <f>'DOE25'!I491</f>
        <v>05/14</v>
      </c>
      <c r="F152" s="152" t="str">
        <f>'DOE25'!J491</f>
        <v>07/14</v>
      </c>
      <c r="G152" s="24" t="s">
        <v>286</v>
      </c>
    </row>
    <row r="153" spans="1:9" x14ac:dyDescent="0.2">
      <c r="A153" s="136" t="s">
        <v>29</v>
      </c>
      <c r="B153" s="152" t="str">
        <f>'DOE25'!F492</f>
        <v>07/22</v>
      </c>
      <c r="C153" s="152" t="str">
        <f>'DOE25'!G492</f>
        <v>07/2028</v>
      </c>
      <c r="D153" s="152" t="str">
        <f>'DOE25'!H492</f>
        <v>07/19</v>
      </c>
      <c r="E153" s="152" t="str">
        <f>'DOE25'!I492</f>
        <v>08/25</v>
      </c>
      <c r="F153" s="152" t="str">
        <f>'DOE25'!J492</f>
        <v>07/24</v>
      </c>
      <c r="G153" s="24" t="s">
        <v>286</v>
      </c>
    </row>
    <row r="154" spans="1:9" x14ac:dyDescent="0.2">
      <c r="A154" s="136" t="s">
        <v>30</v>
      </c>
      <c r="B154" s="137">
        <f>'DOE25'!F493</f>
        <v>12030000</v>
      </c>
      <c r="C154" s="137">
        <f>'DOE25'!G493</f>
        <v>2720000</v>
      </c>
      <c r="D154" s="137">
        <f>'DOE25'!H493</f>
        <v>5100000</v>
      </c>
      <c r="E154" s="137">
        <f>'DOE25'!I493</f>
        <v>2955000</v>
      </c>
      <c r="F154" s="137">
        <f>'DOE25'!J493</f>
        <v>3895000</v>
      </c>
      <c r="G154" s="24" t="s">
        <v>286</v>
      </c>
    </row>
    <row r="155" spans="1:9" x14ac:dyDescent="0.2">
      <c r="A155" s="136" t="s">
        <v>31</v>
      </c>
      <c r="B155" s="137">
        <f>'DOE25'!F494</f>
        <v>4.57</v>
      </c>
      <c r="C155" s="137">
        <f>'DOE25'!G494</f>
        <v>2.69</v>
      </c>
      <c r="D155" s="137">
        <f>'DOE25'!H494</f>
        <v>4.09</v>
      </c>
      <c r="E155" s="137">
        <f>'DOE25'!I494</f>
        <v>1.94</v>
      </c>
      <c r="F155" s="137">
        <f>'DOE25'!J494</f>
        <v>2.14</v>
      </c>
      <c r="G155" s="24" t="s">
        <v>286</v>
      </c>
    </row>
    <row r="156" spans="1:9" x14ac:dyDescent="0.2">
      <c r="A156" s="22" t="s">
        <v>32</v>
      </c>
      <c r="B156" s="137">
        <f>'DOE25'!F495</f>
        <v>3990000</v>
      </c>
      <c r="C156" s="137">
        <f>'DOE25'!G495</f>
        <v>2720000</v>
      </c>
      <c r="D156" s="137">
        <f>'DOE25'!H495</f>
        <v>510000</v>
      </c>
      <c r="E156" s="137">
        <f>'DOE25'!I495</f>
        <v>2565000</v>
      </c>
      <c r="F156" s="137">
        <f>'DOE25'!J495</f>
        <v>3115000</v>
      </c>
      <c r="G156" s="138">
        <f>SUM(B156:F156)</f>
        <v>12900000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665000</v>
      </c>
      <c r="C158" s="137">
        <f>'DOE25'!G497</f>
        <v>45000</v>
      </c>
      <c r="D158" s="137">
        <f>'DOE25'!H497</f>
        <v>255000</v>
      </c>
      <c r="E158" s="137">
        <f>'DOE25'!I497</f>
        <v>305000</v>
      </c>
      <c r="F158" s="137">
        <f>'DOE25'!J497</f>
        <v>390000</v>
      </c>
      <c r="G158" s="138">
        <f t="shared" si="0"/>
        <v>1660000</v>
      </c>
    </row>
    <row r="159" spans="1:9" x14ac:dyDescent="0.2">
      <c r="A159" s="22" t="s">
        <v>35</v>
      </c>
      <c r="B159" s="137">
        <f>'DOE25'!F498</f>
        <v>3325000</v>
      </c>
      <c r="C159" s="137">
        <f>'DOE25'!G498</f>
        <v>2675000</v>
      </c>
      <c r="D159" s="137">
        <f>'DOE25'!H498</f>
        <v>255000</v>
      </c>
      <c r="E159" s="137">
        <f>'DOE25'!I498</f>
        <v>2260000</v>
      </c>
      <c r="F159" s="137">
        <f>'DOE25'!J498</f>
        <v>2725000</v>
      </c>
      <c r="G159" s="138">
        <f t="shared" si="0"/>
        <v>11240000</v>
      </c>
    </row>
    <row r="160" spans="1:9" x14ac:dyDescent="0.2">
      <c r="A160" s="22" t="s">
        <v>36</v>
      </c>
      <c r="B160" s="137">
        <f>'DOE25'!F499</f>
        <v>412300</v>
      </c>
      <c r="C160" s="137">
        <f>'DOE25'!G499</f>
        <v>420813.37</v>
      </c>
      <c r="D160" s="137">
        <f>'DOE25'!H499</f>
        <v>5418.75</v>
      </c>
      <c r="E160" s="137">
        <f>'DOE25'!I499</f>
        <v>200703.18</v>
      </c>
      <c r="F160" s="137">
        <f>'DOE25'!J499</f>
        <v>285675</v>
      </c>
      <c r="G160" s="138">
        <f t="shared" si="0"/>
        <v>1324910.3</v>
      </c>
    </row>
    <row r="161" spans="1:7" x14ac:dyDescent="0.2">
      <c r="A161" s="22" t="s">
        <v>37</v>
      </c>
      <c r="B161" s="137">
        <f>'DOE25'!F500</f>
        <v>3737300</v>
      </c>
      <c r="C161" s="137">
        <f>'DOE25'!G500</f>
        <v>3095813.37</v>
      </c>
      <c r="D161" s="137">
        <f>'DOE25'!H500</f>
        <v>260418.75</v>
      </c>
      <c r="E161" s="137">
        <f>'DOE25'!I500</f>
        <v>2460703.1800000002</v>
      </c>
      <c r="F161" s="137">
        <f>'DOE25'!J500</f>
        <v>3010675</v>
      </c>
      <c r="G161" s="138">
        <f t="shared" si="0"/>
        <v>12564910.300000001</v>
      </c>
    </row>
    <row r="162" spans="1:7" x14ac:dyDescent="0.2">
      <c r="A162" s="22" t="s">
        <v>38</v>
      </c>
      <c r="B162" s="137">
        <f>'DOE25'!F501</f>
        <v>665000</v>
      </c>
      <c r="C162" s="137">
        <f>'DOE25'!G501</f>
        <v>30000</v>
      </c>
      <c r="D162" s="137">
        <f>'DOE25'!H501</f>
        <v>255000</v>
      </c>
      <c r="E162" s="137">
        <f>'DOE25'!I501</f>
        <v>300000</v>
      </c>
      <c r="F162" s="137">
        <f>'DOE25'!J501</f>
        <v>390000</v>
      </c>
      <c r="G162" s="138">
        <f t="shared" si="0"/>
        <v>1640000</v>
      </c>
    </row>
    <row r="163" spans="1:7" x14ac:dyDescent="0.2">
      <c r="A163" s="22" t="s">
        <v>39</v>
      </c>
      <c r="B163" s="137">
        <f>'DOE25'!F502</f>
        <v>147131.25</v>
      </c>
      <c r="C163" s="137">
        <f>'DOE25'!G502</f>
        <v>71465.72</v>
      </c>
      <c r="D163" s="137">
        <f>'DOE25'!H502</f>
        <v>5418.75</v>
      </c>
      <c r="E163" s="137">
        <f>'DOE25'!I502</f>
        <v>46293.760000000002</v>
      </c>
      <c r="F163" s="137">
        <f>'DOE25'!J502</f>
        <v>75900</v>
      </c>
      <c r="G163" s="138">
        <f t="shared" si="0"/>
        <v>346209.48</v>
      </c>
    </row>
    <row r="164" spans="1:7" x14ac:dyDescent="0.2">
      <c r="A164" s="22" t="s">
        <v>246</v>
      </c>
      <c r="B164" s="137">
        <f>'DOE25'!F503</f>
        <v>812131.25</v>
      </c>
      <c r="C164" s="137">
        <f>'DOE25'!G503</f>
        <v>101465.72</v>
      </c>
      <c r="D164" s="137">
        <f>'DOE25'!H503</f>
        <v>260418.75</v>
      </c>
      <c r="E164" s="137">
        <f>'DOE25'!I503</f>
        <v>346293.76000000001</v>
      </c>
      <c r="F164" s="137">
        <f>'DOE25'!J503</f>
        <v>465900</v>
      </c>
      <c r="G164" s="138">
        <f t="shared" si="0"/>
        <v>1986209.48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734</v>
      </c>
      <c r="B1" s="284"/>
      <c r="C1" s="284"/>
      <c r="D1" s="284"/>
    </row>
    <row r="2" spans="1:4" x14ac:dyDescent="0.2">
      <c r="A2" s="187" t="s">
        <v>711</v>
      </c>
      <c r="B2" s="186" t="str">
        <f>'DOE25'!A2</f>
        <v>Londonderry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17093</v>
      </c>
    </row>
    <row r="5" spans="1:4" x14ac:dyDescent="0.2">
      <c r="B5" t="s">
        <v>698</v>
      </c>
      <c r="C5" s="179">
        <f>IF('DOE25'!G665+'DOE25'!G670=0,0,ROUND('DOE25'!G672,0))</f>
        <v>14946</v>
      </c>
    </row>
    <row r="6" spans="1:4" x14ac:dyDescent="0.2">
      <c r="B6" t="s">
        <v>62</v>
      </c>
      <c r="C6" s="179">
        <f>IF('DOE25'!H665+'DOE25'!H670=0,0,ROUND('DOE25'!H672,0))</f>
        <v>15951</v>
      </c>
    </row>
    <row r="7" spans="1:4" x14ac:dyDescent="0.2">
      <c r="B7" t="s">
        <v>699</v>
      </c>
      <c r="C7" s="179">
        <f>IF('DOE25'!I665+'DOE25'!I670=0,0,ROUND('DOE25'!I672,0))</f>
        <v>16177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29197660</v>
      </c>
      <c r="D10" s="182">
        <f>ROUND((C10/$C$28)*100,1)</f>
        <v>40.1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14959573</v>
      </c>
      <c r="D11" s="182">
        <f>ROUND((C11/$C$28)*100,1)</f>
        <v>20.6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104904</v>
      </c>
      <c r="D12" s="182">
        <f>ROUND((C12/$C$28)*100,1)</f>
        <v>0.1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1728084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6395469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1843086</v>
      </c>
      <c r="D16" s="182">
        <f t="shared" si="0"/>
        <v>2.5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2751504</v>
      </c>
      <c r="D17" s="182">
        <f t="shared" si="0"/>
        <v>3.8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3547400</v>
      </c>
      <c r="D18" s="182">
        <f t="shared" si="0"/>
        <v>4.9000000000000004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1070630</v>
      </c>
      <c r="D19" s="182">
        <f t="shared" si="0"/>
        <v>1.5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6760552</v>
      </c>
      <c r="D20" s="182">
        <f t="shared" si="0"/>
        <v>9.3000000000000007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3629309</v>
      </c>
      <c r="D21" s="182">
        <f t="shared" si="0"/>
        <v>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93239</v>
      </c>
      <c r="D24" s="182">
        <f t="shared" si="0"/>
        <v>0.1</v>
      </c>
    </row>
    <row r="25" spans="1:4" x14ac:dyDescent="0.2">
      <c r="A25">
        <v>5120</v>
      </c>
      <c r="B25" t="s">
        <v>714</v>
      </c>
      <c r="C25" s="179">
        <f>ROUND('DOE25'!L261+'DOE25'!L342,0)</f>
        <v>424329</v>
      </c>
      <c r="D25" s="182">
        <f t="shared" si="0"/>
        <v>0.6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4558.33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280920.62000000011</v>
      </c>
      <c r="D27" s="182">
        <f t="shared" si="0"/>
        <v>0.4</v>
      </c>
    </row>
    <row r="28" spans="1:4" x14ac:dyDescent="0.2">
      <c r="B28" s="187" t="s">
        <v>717</v>
      </c>
      <c r="C28" s="180">
        <f>SUM(C10:C27)</f>
        <v>72791217.950000003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386520</v>
      </c>
    </row>
    <row r="30" spans="1:4" x14ac:dyDescent="0.2">
      <c r="B30" s="187" t="s">
        <v>723</v>
      </c>
      <c r="C30" s="180">
        <f>SUM(C28:C29)</f>
        <v>73177737.950000003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1660000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52645485</v>
      </c>
      <c r="D35" s="182">
        <f t="shared" ref="D35:D40" si="1">ROUND((C35/$C$41)*100,1)</f>
        <v>70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1221902.3700000048</v>
      </c>
      <c r="D36" s="182">
        <f t="shared" si="1"/>
        <v>1.6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18198972</v>
      </c>
      <c r="D37" s="182">
        <f t="shared" si="1"/>
        <v>24.2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834395</v>
      </c>
      <c r="D38" s="182">
        <f t="shared" si="1"/>
        <v>1.1000000000000001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2319658</v>
      </c>
      <c r="D39" s="182">
        <f t="shared" si="1"/>
        <v>3.1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75220412.370000005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R19" sqref="R1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764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761</v>
      </c>
      <c r="B2" s="302"/>
      <c r="C2" s="302"/>
      <c r="D2" s="302"/>
      <c r="E2" s="302"/>
      <c r="F2" s="299" t="str">
        <f>'DOE25'!A2</f>
        <v>Londonderry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7" t="s">
        <v>765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842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2018-09-26T16:35:03Z</cp:lastPrinted>
  <dcterms:created xsi:type="dcterms:W3CDTF">1997-12-04T19:04:30Z</dcterms:created>
  <dcterms:modified xsi:type="dcterms:W3CDTF">2018-12-03T19:43:10Z</dcterms:modified>
</cp:coreProperties>
</file>