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/>
  <c r="L198" i="1"/>
  <c r="L199" i="1"/>
  <c r="L200" i="1"/>
  <c r="L215" i="1"/>
  <c r="L216" i="1"/>
  <c r="L217" i="1"/>
  <c r="L218" i="1"/>
  <c r="L233" i="1"/>
  <c r="L234" i="1"/>
  <c r="L247" i="1"/>
  <c r="L235" i="1"/>
  <c r="L236" i="1"/>
  <c r="F6" i="13"/>
  <c r="G6" i="13"/>
  <c r="L202" i="1"/>
  <c r="L220" i="1"/>
  <c r="L238" i="1"/>
  <c r="F7" i="13"/>
  <c r="G7" i="13"/>
  <c r="L203" i="1"/>
  <c r="C119" i="2"/>
  <c r="L221" i="1"/>
  <c r="L239" i="1"/>
  <c r="F12" i="13"/>
  <c r="G12" i="13"/>
  <c r="D12" i="13"/>
  <c r="C12" i="13"/>
  <c r="L205" i="1"/>
  <c r="L223" i="1"/>
  <c r="L241" i="1"/>
  <c r="F14" i="13"/>
  <c r="G14" i="13"/>
  <c r="L207" i="1"/>
  <c r="C20" i="10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C15" i="10"/>
  <c r="L282" i="1"/>
  <c r="L283" i="1"/>
  <c r="L284" i="1"/>
  <c r="L285" i="1"/>
  <c r="L286" i="1"/>
  <c r="E123" i="2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/>
  <c r="L261" i="1"/>
  <c r="C25" i="10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/>
  <c r="G162" i="1"/>
  <c r="H147" i="1"/>
  <c r="H162" i="1"/>
  <c r="H169" i="1"/>
  <c r="I147" i="1"/>
  <c r="I162" i="1"/>
  <c r="C12" i="10"/>
  <c r="C13" i="10"/>
  <c r="C17" i="10"/>
  <c r="C18" i="10"/>
  <c r="C19" i="10"/>
  <c r="C21" i="10"/>
  <c r="L250" i="1"/>
  <c r="L332" i="1"/>
  <c r="L254" i="1"/>
  <c r="L268" i="1"/>
  <c r="L269" i="1"/>
  <c r="L349" i="1"/>
  <c r="L350" i="1"/>
  <c r="I665" i="1"/>
  <c r="I670" i="1"/>
  <c r="L229" i="1"/>
  <c r="F661" i="1"/>
  <c r="I661" i="1"/>
  <c r="G661" i="1"/>
  <c r="H661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K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D3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E78" i="2"/>
  <c r="E81" i="2"/>
  <c r="F77" i="2"/>
  <c r="G77" i="2"/>
  <c r="G78" i="2"/>
  <c r="G81" i="2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5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C120" i="2"/>
  <c r="E120" i="2"/>
  <c r="C121" i="2"/>
  <c r="E121" i="2"/>
  <c r="C122" i="2"/>
  <c r="E122" i="2"/>
  <c r="C124" i="2"/>
  <c r="E124" i="2"/>
  <c r="C125" i="2"/>
  <c r="E125" i="2"/>
  <c r="D127" i="2"/>
  <c r="D128" i="2"/>
  <c r="F128" i="2"/>
  <c r="G128" i="2"/>
  <c r="C130" i="2"/>
  <c r="E130" i="2"/>
  <c r="F130" i="2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I19" i="1"/>
  <c r="F32" i="1"/>
  <c r="F52" i="1"/>
  <c r="H617" i="1"/>
  <c r="G32" i="1"/>
  <c r="G52" i="1"/>
  <c r="H618" i="1"/>
  <c r="H32" i="1"/>
  <c r="I32" i="1"/>
  <c r="H51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I257" i="1"/>
  <c r="I271" i="1"/>
  <c r="J211" i="1"/>
  <c r="J257" i="1"/>
  <c r="J271" i="1"/>
  <c r="K211" i="1"/>
  <c r="F229" i="1"/>
  <c r="G229" i="1"/>
  <c r="H229" i="1"/>
  <c r="I229" i="1"/>
  <c r="J229" i="1"/>
  <c r="K229" i="1"/>
  <c r="F247" i="1"/>
  <c r="G247" i="1"/>
  <c r="G257" i="1"/>
  <c r="G271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/>
  <c r="K352" i="1"/>
  <c r="F362" i="1"/>
  <c r="G362" i="1"/>
  <c r="H362" i="1"/>
  <c r="I362" i="1"/>
  <c r="J362" i="1"/>
  <c r="K362" i="1"/>
  <c r="I368" i="1"/>
  <c r="I369" i="1"/>
  <c r="H634" i="1"/>
  <c r="J634" i="1"/>
  <c r="F369" i="1"/>
  <c r="G369" i="1"/>
  <c r="H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/>
  <c r="H644" i="1"/>
  <c r="J644" i="1"/>
  <c r="I401" i="1"/>
  <c r="I408" i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H446" i="1"/>
  <c r="I446" i="1"/>
  <c r="F452" i="1"/>
  <c r="G452" i="1"/>
  <c r="H452" i="1"/>
  <c r="I452" i="1"/>
  <c r="F460" i="1"/>
  <c r="F461" i="1"/>
  <c r="H639" i="1"/>
  <c r="G460" i="1"/>
  <c r="H460" i="1"/>
  <c r="G461" i="1"/>
  <c r="H461" i="1"/>
  <c r="F470" i="1"/>
  <c r="G470" i="1"/>
  <c r="H470" i="1"/>
  <c r="I470" i="1"/>
  <c r="J470" i="1"/>
  <c r="J476" i="1"/>
  <c r="H626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/>
  <c r="H524" i="1"/>
  <c r="H545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F571" i="1"/>
  <c r="G560" i="1"/>
  <c r="H560" i="1"/>
  <c r="I560" i="1"/>
  <c r="J560" i="1"/>
  <c r="J571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H640" i="1"/>
  <c r="G641" i="1"/>
  <c r="H641" i="1"/>
  <c r="G642" i="1"/>
  <c r="G643" i="1"/>
  <c r="H643" i="1"/>
  <c r="J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J655" i="1"/>
  <c r="F192" i="1"/>
  <c r="L256" i="1"/>
  <c r="K257" i="1"/>
  <c r="K271" i="1"/>
  <c r="C26" i="10"/>
  <c r="L328" i="1"/>
  <c r="L351" i="1"/>
  <c r="I662" i="1"/>
  <c r="L290" i="1"/>
  <c r="A31" i="12"/>
  <c r="A40" i="12"/>
  <c r="D62" i="2"/>
  <c r="D63" i="2"/>
  <c r="D18" i="13"/>
  <c r="C18" i="13"/>
  <c r="D15" i="13"/>
  <c r="C15" i="13"/>
  <c r="D17" i="13"/>
  <c r="C17" i="13"/>
  <c r="D6" i="13"/>
  <c r="C6" i="13"/>
  <c r="E8" i="13"/>
  <c r="C8" i="13"/>
  <c r="C91" i="2"/>
  <c r="F78" i="2"/>
  <c r="F81" i="2"/>
  <c r="D50" i="2"/>
  <c r="G157" i="2"/>
  <c r="F18" i="2"/>
  <c r="G161" i="2"/>
  <c r="G156" i="2"/>
  <c r="E103" i="2"/>
  <c r="E62" i="2"/>
  <c r="E63" i="2"/>
  <c r="E31" i="2"/>
  <c r="G62" i="2"/>
  <c r="D29" i="13"/>
  <c r="C29" i="13"/>
  <c r="D19" i="13"/>
  <c r="C19" i="13"/>
  <c r="D14" i="13"/>
  <c r="C14" i="13"/>
  <c r="E13" i="13"/>
  <c r="C13" i="13"/>
  <c r="H112" i="1"/>
  <c r="F112" i="1"/>
  <c r="J641" i="1"/>
  <c r="K605" i="1"/>
  <c r="G648" i="1"/>
  <c r="K571" i="1"/>
  <c r="L433" i="1"/>
  <c r="L419" i="1"/>
  <c r="D81" i="2"/>
  <c r="I169" i="1"/>
  <c r="G552" i="1"/>
  <c r="I476" i="1"/>
  <c r="H625" i="1"/>
  <c r="J625" i="1"/>
  <c r="G338" i="1"/>
  <c r="G352" i="1"/>
  <c r="F169" i="1"/>
  <c r="J140" i="1"/>
  <c r="I552" i="1"/>
  <c r="K550" i="1"/>
  <c r="G22" i="2"/>
  <c r="K545" i="1"/>
  <c r="J552" i="1"/>
  <c r="H552" i="1"/>
  <c r="C29" i="10"/>
  <c r="H140" i="1"/>
  <c r="L393" i="1"/>
  <c r="F22" i="13"/>
  <c r="J651" i="1"/>
  <c r="J640" i="1"/>
  <c r="H571" i="1"/>
  <c r="J545" i="1"/>
  <c r="H338" i="1"/>
  <c r="H352" i="1"/>
  <c r="F338" i="1"/>
  <c r="F352" i="1"/>
  <c r="G192" i="1"/>
  <c r="H192" i="1"/>
  <c r="F552" i="1"/>
  <c r="C35" i="10"/>
  <c r="L309" i="1"/>
  <c r="E16" i="13"/>
  <c r="J645" i="1"/>
  <c r="L570" i="1"/>
  <c r="I571" i="1"/>
  <c r="I545" i="1"/>
  <c r="J636" i="1"/>
  <c r="G36" i="2"/>
  <c r="L565" i="1"/>
  <c r="C22" i="13"/>
  <c r="C138" i="2"/>
  <c r="C16" i="13"/>
  <c r="D91" i="2"/>
  <c r="C70" i="2"/>
  <c r="K551" i="1"/>
  <c r="L545" i="1"/>
  <c r="K552" i="1"/>
  <c r="K503" i="1"/>
  <c r="K500" i="1"/>
  <c r="D18" i="2"/>
  <c r="C18" i="2"/>
  <c r="H52" i="1"/>
  <c r="H619" i="1"/>
  <c r="J619" i="1"/>
  <c r="L560" i="1"/>
  <c r="L571" i="1"/>
  <c r="L401" i="1"/>
  <c r="C139" i="2"/>
  <c r="I460" i="1"/>
  <c r="I461" i="1"/>
  <c r="H642" i="1"/>
  <c r="H476" i="1"/>
  <c r="H624" i="1"/>
  <c r="J624" i="1"/>
  <c r="K598" i="1"/>
  <c r="G647" i="1"/>
  <c r="J649" i="1"/>
  <c r="G476" i="1"/>
  <c r="H623" i="1"/>
  <c r="J623" i="1"/>
  <c r="F476" i="1"/>
  <c r="H622" i="1"/>
  <c r="J622" i="1"/>
  <c r="J617" i="1"/>
  <c r="J639" i="1"/>
  <c r="L427" i="1"/>
  <c r="L434" i="1"/>
  <c r="G638" i="1"/>
  <c r="J638" i="1"/>
  <c r="L362" i="1"/>
  <c r="G635" i="1"/>
  <c r="J635" i="1"/>
  <c r="D145" i="2"/>
  <c r="J338" i="1"/>
  <c r="J352" i="1"/>
  <c r="E128" i="2"/>
  <c r="E145" i="2"/>
  <c r="H25" i="13"/>
  <c r="C132" i="2"/>
  <c r="C109" i="2"/>
  <c r="D7" i="13"/>
  <c r="C7" i="13"/>
  <c r="C123" i="2"/>
  <c r="C128" i="2"/>
  <c r="C16" i="10"/>
  <c r="H257" i="1"/>
  <c r="H271" i="1"/>
  <c r="E33" i="13"/>
  <c r="D35" i="13"/>
  <c r="C110" i="2"/>
  <c r="D5" i="13"/>
  <c r="C5" i="13"/>
  <c r="F257" i="1"/>
  <c r="F271" i="1"/>
  <c r="C11" i="10"/>
  <c r="H660" i="1"/>
  <c r="H664" i="1"/>
  <c r="H667" i="1"/>
  <c r="J647" i="1"/>
  <c r="L211" i="1"/>
  <c r="L257" i="1"/>
  <c r="L271" i="1"/>
  <c r="G632" i="1"/>
  <c r="J632" i="1"/>
  <c r="C78" i="2"/>
  <c r="C81" i="2"/>
  <c r="C63" i="2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L338" i="1"/>
  <c r="L352" i="1"/>
  <c r="G633" i="1"/>
  <c r="J633" i="1"/>
  <c r="C24" i="10"/>
  <c r="G660" i="1"/>
  <c r="G664" i="1"/>
  <c r="G667" i="1"/>
  <c r="G31" i="13"/>
  <c r="G33" i="13"/>
  <c r="I338" i="1"/>
  <c r="I352" i="1"/>
  <c r="J650" i="1"/>
  <c r="L407" i="1"/>
  <c r="C140" i="2"/>
  <c r="C141" i="2"/>
  <c r="C144" i="2"/>
  <c r="I192" i="1"/>
  <c r="E91" i="2"/>
  <c r="E104" i="2"/>
  <c r="L408" i="1"/>
  <c r="G637" i="1"/>
  <c r="J637" i="1"/>
  <c r="D51" i="2"/>
  <c r="J654" i="1"/>
  <c r="J653" i="1"/>
  <c r="F144" i="2"/>
  <c r="F145" i="2"/>
  <c r="G21" i="2"/>
  <c r="G31" i="2"/>
  <c r="J32" i="1"/>
  <c r="J434" i="1"/>
  <c r="F434" i="1"/>
  <c r="K434" i="1"/>
  <c r="G134" i="2"/>
  <c r="G144" i="2"/>
  <c r="G145" i="2"/>
  <c r="F31" i="13"/>
  <c r="J193" i="1"/>
  <c r="G646" i="1"/>
  <c r="F104" i="2"/>
  <c r="H193" i="1"/>
  <c r="G629" i="1"/>
  <c r="J629" i="1"/>
  <c r="G169" i="1"/>
  <c r="C39" i="10"/>
  <c r="G140" i="1"/>
  <c r="F140" i="1"/>
  <c r="F193" i="1"/>
  <c r="G627" i="1"/>
  <c r="J627" i="1"/>
  <c r="C36" i="10"/>
  <c r="G63" i="2"/>
  <c r="G104" i="2"/>
  <c r="J618" i="1"/>
  <c r="G42" i="2"/>
  <c r="G50" i="2"/>
  <c r="G51" i="2"/>
  <c r="J51" i="1"/>
  <c r="G16" i="2"/>
  <c r="J19" i="1"/>
  <c r="G621" i="1"/>
  <c r="F33" i="13"/>
  <c r="D31" i="13"/>
  <c r="C31" i="13"/>
  <c r="G18" i="2"/>
  <c r="F545" i="1"/>
  <c r="H434" i="1"/>
  <c r="J620" i="1"/>
  <c r="D103" i="2"/>
  <c r="D104" i="2"/>
  <c r="I140" i="1"/>
  <c r="I193" i="1"/>
  <c r="G630" i="1"/>
  <c r="J630" i="1"/>
  <c r="A22" i="12"/>
  <c r="H648" i="1"/>
  <c r="J648" i="1"/>
  <c r="J652" i="1"/>
  <c r="J642" i="1"/>
  <c r="G571" i="1"/>
  <c r="I434" i="1"/>
  <c r="G434" i="1"/>
  <c r="I663" i="1"/>
  <c r="H646" i="1"/>
  <c r="C27" i="10"/>
  <c r="C28" i="10"/>
  <c r="D23" i="10"/>
  <c r="G672" i="1"/>
  <c r="C5" i="10"/>
  <c r="C25" i="13"/>
  <c r="H33" i="13"/>
  <c r="C115" i="2"/>
  <c r="C145" i="2"/>
  <c r="H672" i="1"/>
  <c r="C6" i="10"/>
  <c r="F660" i="1"/>
  <c r="F664" i="1"/>
  <c r="F672" i="1"/>
  <c r="C4" i="10" s="1"/>
  <c r="C104" i="2"/>
  <c r="C51" i="2"/>
  <c r="G631" i="1"/>
  <c r="J631" i="1"/>
  <c r="D33" i="13"/>
  <c r="D36" i="13"/>
  <c r="J646" i="1"/>
  <c r="G193" i="1"/>
  <c r="G628" i="1"/>
  <c r="J628" i="1"/>
  <c r="G626" i="1"/>
  <c r="J626" i="1"/>
  <c r="J52" i="1"/>
  <c r="H621" i="1"/>
  <c r="J621" i="1"/>
  <c r="C38" i="10"/>
  <c r="D10" i="10"/>
  <c r="D18" i="10"/>
  <c r="D25" i="10"/>
  <c r="D15" i="10"/>
  <c r="D19" i="10"/>
  <c r="D27" i="10"/>
  <c r="D26" i="10"/>
  <c r="D12" i="10"/>
  <c r="D20" i="10"/>
  <c r="D17" i="10"/>
  <c r="D24" i="10"/>
  <c r="D13" i="10"/>
  <c r="D11" i="10"/>
  <c r="D21" i="10"/>
  <c r="D22" i="10"/>
  <c r="C30" i="10"/>
  <c r="D16" i="10"/>
  <c r="F667" i="1"/>
  <c r="I660" i="1"/>
  <c r="I664" i="1"/>
  <c r="I672" i="1"/>
  <c r="C7" i="10"/>
  <c r="H656" i="1"/>
  <c r="C41" i="10"/>
  <c r="D38" i="10"/>
  <c r="D28" i="10"/>
  <c r="I667" i="1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<sst xmlns="http://schemas.openxmlformats.org/spreadsheetml/2006/main" count="3959" uniqueCount="915">
  <si>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</si>
  <si>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</si>
  <si>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</si>
  <si>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</si>
  <si>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</si>
  <si>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</si>
  <si>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</si>
  <si>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</si>
  <si>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</si>
  <si>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</si>
  <si>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</si>
  <si>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</si>
  <si>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</si>
  <si>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</si>
  <si>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</si>
  <si>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</si>
  <si>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</si>
  <si>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</si>
  <si>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</si>
  <si>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</si>
  <si>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</si>
  <si>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</si>
  <si>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</si>
  <si>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</si>
  <si>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</si>
  <si>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</si>
  <si>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</si>
  <si>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</si>
  <si>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</si>
  <si>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</si>
  <si>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</si>
  <si>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</si>
  <si>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</si>
  <si>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</si>
  <si>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</si>
  <si>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</si>
  <si>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</si>
  <si>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</si>
  <si>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</si>
  <si>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</si>
  <si>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</si>
  <si>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</si>
  <si>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</si>
  <si>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</si>
  <si>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</si>
  <si>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</si>
  <si>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</si>
  <si>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</si>
  <si>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</si>
  <si>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</si>
  <si>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</si>
  <si>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</si>
  <si>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</si>
  <si>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</si>
  <si>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</si>
  <si>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</si>
  <si>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</si>
  <si>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</si>
  <si>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</si>
  <si>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</si>
  <si>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</si>
  <si>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</si>
  <si>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</si>
  <si>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</si>
  <si>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</si>
  <si>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</si>
  <si>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</si>
  <si>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</si>
  <si>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</si>
  <si>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</si>
  <si>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</si>
  <si>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</si>
  <si>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</si>
  <si>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</si>
  <si>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</si>
  <si>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</si>
  <si>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</si>
  <si>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</si>
  <si>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</si>
  <si>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</si>
  <si>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</si>
  <si>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</si>
  <si>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</si>
  <si>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</si>
  <si>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</si>
  <si>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</si>
  <si>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</si>
  <si>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</si>
  <si>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</si>
  <si>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</si>
  <si>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</si>
  <si>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</si>
  <si>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</si>
  <si>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</si>
  <si>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</si>
  <si>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</si>
  <si>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</si>
  <si>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</si>
  <si>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</si>
  <si>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</si>
  <si>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</si>
  <si>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</si>
  <si>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</si>
  <si>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</si>
  <si>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</si>
  <si>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</si>
  <si>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</si>
  <si>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</si>
  <si>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</si>
  <si>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</si>
  <si>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</si>
  <si>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</si>
  <si>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</si>
  <si>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</si>
  <si>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</si>
  <si>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</si>
  <si>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</si>
  <si>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</si>
  <si>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</si>
  <si>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</si>
  <si>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</si>
  <si>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</si>
  <si>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</si>
  <si>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</si>
  <si>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</si>
  <si>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</si>
  <si>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</si>
  <si>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</si>
  <si>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</si>
  <si>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</si>
  <si>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</si>
  <si>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</si>
  <si>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</si>
  <si>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</si>
  <si>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</si>
  <si>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</si>
  <si>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</si>
  <si>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</si>
  <si>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</si>
  <si>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</si>
  <si>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</si>
  <si>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</si>
  <si>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</si>
  <si>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</si>
  <si>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</si>
  <si>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</si>
  <si>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</si>
  <si>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</si>
  <si>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</si>
  <si>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</si>
  <si>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</si>
  <si>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</si>
  <si>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</si>
  <si>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</si>
  <si>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</si>
  <si>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</si>
  <si>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</si>
  <si>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</si>
  <si>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</si>
  <si>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</si>
  <si>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</si>
  <si>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</si>
  <si>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</si>
  <si>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</si>
  <si>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</si>
  <si>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</si>
  <si>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</si>
  <si>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</si>
  <si>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</si>
  <si>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</si>
  <si>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</si>
  <si>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</si>
  <si>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</si>
  <si>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</si>
  <si>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</si>
  <si>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</si>
  <si>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</si>
  <si>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</si>
  <si>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</si>
  <si>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</si>
  <si>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</si>
  <si>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</si>
  <si>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</si>
  <si>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</si>
  <si>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</si>
  <si>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</si>
  <si>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</si>
  <si>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</si>
  <si>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</si>
  <si>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</si>
  <si>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</si>
  <si>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</si>
  <si>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</si>
  <si>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</si>
  <si>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</si>
  <si>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</si>
  <si>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</si>
  <si>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</si>
  <si>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</si>
  <si>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</si>
  <si>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</si>
  <si>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</si>
  <si>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</si>
  <si>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</si>
  <si>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</si>
  <si>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</si>
  <si>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</si>
  <si>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</si>
  <si>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</si>
  <si>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</si>
  <si>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</si>
  <si>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</si>
  <si>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</si>
  <si>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</si>
  <si>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</si>
  <si>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</si>
  <si>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</si>
  <si>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</si>
  <si>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</si>
  <si>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</si>
  <si>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</si>
  <si>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</si>
  <si>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</si>
  <si>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</si>
  <si>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</si>
  <si>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</si>
  <si>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</si>
  <si>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</si>
  <si>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</si>
  <si>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</si>
  <si>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</si>
  <si>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</si>
  <si>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</si>
  <si>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</si>
  <si>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</si>
  <si>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</si>
  <si>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</si>
  <si>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</si>
  <si>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</si>
  <si>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</si>
  <si>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</si>
  <si>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</si>
  <si>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</si>
  <si>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</si>
  <si>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</si>
  <si>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</si>
  <si>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</si>
  <si>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</si>
  <si>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</si>
  <si>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</si>
  <si>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</si>
  <si>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</si>
  <si>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</si>
  <si>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</si>
  <si>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</si>
  <si>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</si>
  <si>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</si>
  <si>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</si>
  <si>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</si>
  <si>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</si>
  <si>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</si>
  <si>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</si>
  <si>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</si>
  <si>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</si>
  <si>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</si>
  <si>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</si>
  <si>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</si>
  <si>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</si>
  <si>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</si>
  <si>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</si>
  <si>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</si>
  <si>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</si>
  <si>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</si>
  <si>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</si>
  <si>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</si>
  <si>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</si>
  <si>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</si>
  <si>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</si>
  <si>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</si>
  <si>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</si>
  <si>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</si>
  <si>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</si>
  <si>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</si>
  <si>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</si>
  <si>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</si>
  <si>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</si>
  <si>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</si>
  <si>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</si>
  <si>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</si>
  <si>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</si>
  <si>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</si>
  <si>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</si>
  <si>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</si>
  <si>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</si>
  <si>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</si>
  <si>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</si>
  <si>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</si>
  <si>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</si>
  <si>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</si>
  <si>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</si>
  <si>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</si>
  <si>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</si>
  <si>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</si>
  <si>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</si>
  <si>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</si>
  <si>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</si>
  <si>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</si>
  <si>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</si>
  <si>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</si>
  <si>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</si>
  <si>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</si>
  <si>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</si>
  <si>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</si>
  <si>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</si>
  <si>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</si>
  <si>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</si>
  <si>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</si>
  <si>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</si>
  <si>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</si>
  <si>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</si>
  <si>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</si>
  <si>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</si>
  <si>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</si>
  <si>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</si>
  <si>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</si>
  <si>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</si>
  <si>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</si>
  <si>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</si>
  <si>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</si>
  <si>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</si>
  <si>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</si>
  <si>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</si>
  <si>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</si>
  <si>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</si>
  <si>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</si>
  <si>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</si>
  <si>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</si>
  <si>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</si>
  <si>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</si>
  <si>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</si>
  <si>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</si>
  <si>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</si>
  <si>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</si>
  <si>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</si>
  <si>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</si>
  <si>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</si>
  <si>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</si>
  <si>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</si>
  <si>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</si>
  <si>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</si>
  <si>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</si>
  <si>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</si>
  <si>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</si>
  <si>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</si>
  <si>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</si>
  <si>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</si>
  <si>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</si>
  <si>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</si>
  <si>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</si>
  <si>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</si>
  <si>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</si>
  <si>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</si>
  <si>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</si>
  <si>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</si>
  <si>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</si>
  <si>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</si>
  <si>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</si>
  <si>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</si>
  <si>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</si>
  <si>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</si>
  <si>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</si>
  <si>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</si>
  <si>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</si>
  <si>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</si>
  <si>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</si>
  <si>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</si>
  <si>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</si>
  <si>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</si>
  <si>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</si>
  <si>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</si>
  <si>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</si>
  <si>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</si>
  <si>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</si>
  <si>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</si>
  <si>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</si>
  <si>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</si>
  <si>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</si>
  <si>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</si>
  <si>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</si>
  <si>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</si>
  <si>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</si>
  <si>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</si>
  <si>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</si>
  <si>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</si>
  <si>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</si>
  <si>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</si>
  <si>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</si>
  <si>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</si>
  <si>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</si>
  <si>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</si>
  <si>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</si>
  <si>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</si>
  <si>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</si>
  <si>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</si>
  <si>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</si>
  <si>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</si>
  <si>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</si>
  <si>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</si>
  <si>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</si>
  <si>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</si>
  <si>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</si>
  <si>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</si>
  <si>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</si>
  <si>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</si>
  <si>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</si>
  <si>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</si>
  <si>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</si>
  <si>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</si>
  <si>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</si>
  <si>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</si>
  <si>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</si>
  <si>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</si>
  <si>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</si>
  <si>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</si>
  <si>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</si>
  <si>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</si>
  <si>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</si>
  <si>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</si>
  <si>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</si>
  <si>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</si>
  <si>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</si>
  <si>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</si>
  <si>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</si>
  <si>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</si>
  <si>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</si>
  <si>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</si>
  <si>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</si>
  <si>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</si>
  <si>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</si>
  <si>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</si>
  <si>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</si>
  <si>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</si>
  <si>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</si>
  <si>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</si>
  <si>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</si>
  <si>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</si>
  <si>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</si>
  <si>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</si>
  <si>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</si>
  <si>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</si>
  <si>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</si>
  <si>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</si>
  <si>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</si>
  <si>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</si>
  <si>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</si>
  <si>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</si>
  <si>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</si>
  <si>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</si>
  <si>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</si>
  <si>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</si>
  <si>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</si>
  <si>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</si>
  <si>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</si>
  <si>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</si>
  <si>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</si>
  <si>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</si>
  <si>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</si>
  <si>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</si>
  <si>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</si>
  <si>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</si>
  <si>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</si>
  <si>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</si>
  <si>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</si>
  <si>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</si>
  <si>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</si>
  <si>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</si>
  <si>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</si>
  <si>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</si>
  <si>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</si>
  <si>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</si>
  <si>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</si>
  <si>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</si>
  <si>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</si>
  <si>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</si>
  <si>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</si>
  <si>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</si>
  <si>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</si>
  <si>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</si>
  <si>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</si>
  <si>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</si>
  <si>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</si>
  <si>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</si>
  <si>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</si>
  <si>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</si>
  <si>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</si>
  <si>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</si>
  <si>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</si>
  <si>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</si>
  <si>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</si>
  <si>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</si>
  <si>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</si>
  <si>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</si>
  <si>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</si>
  <si>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</si>
  <si>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</si>
  <si>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</si>
  <si>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</si>
  <si>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</si>
  <si>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</si>
  <si>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</si>
  <si>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</si>
  <si>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</si>
  <si>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</si>
  <si>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</si>
  <si>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</si>
  <si>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</si>
  <si>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</si>
  <si>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</si>
  <si>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</si>
  <si>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</si>
  <si>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</si>
  <si>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</si>
  <si>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</si>
  <si>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</si>
  <si>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</si>
  <si>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</si>
  <si>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</si>
  <si>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</si>
  <si>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</si>
  <si>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</si>
  <si>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</si>
  <si>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</si>
  <si>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</si>
  <si>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</si>
  <si>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</si>
  <si>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</si>
  <si>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</si>
  <si>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</si>
  <si>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</si>
  <si>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</si>
  <si>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</si>
  <si>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</si>
  <si>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</si>
  <si>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</si>
  <si>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</si>
  <si>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</si>
  <si>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</si>
  <si>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</si>
  <si>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</si>
  <si>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</si>
  <si>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</si>
  <si>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</si>
  <si>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</si>
  <si>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</si>
  <si>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</si>
  <si>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</si>
  <si>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</si>
  <si>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</si>
  <si>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</si>
  <si>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</si>
  <si>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</si>
  <si>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</si>
  <si>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</si>
  <si>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</si>
  <si>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</si>
  <si>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</si>
  <si>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</si>
  <si>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</si>
  <si>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</si>
  <si>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</si>
  <si>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</si>
  <si>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</si>
  <si>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</si>
  <si>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</si>
  <si>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</si>
  <si>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</si>
  <si>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</si>
  <si>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</si>
  <si>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</si>
  <si>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</si>
  <si>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</si>
  <si>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</si>
  <si>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</si>
  <si>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</si>
  <si>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</si>
  <si>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</si>
  <si>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</si>
  <si>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</si>
  <si>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</si>
  <si>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</si>
  <si>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</si>
  <si>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</si>
  <si>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</si>
  <si>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</si>
  <si>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</si>
  <si>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</si>
  <si>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</si>
  <si>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</si>
  <si>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</si>
  <si>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</si>
  <si>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</si>
  <si>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</si>
  <si>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</si>
  <si>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</si>
  <si>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</si>
  <si>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</si>
  <si>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</si>
  <si>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</si>
  <si>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</si>
  <si>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</si>
  <si>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</si>
  <si>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</si>
  <si>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</si>
  <si>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</si>
  <si>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</si>
  <si>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</si>
  <si>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</si>
  <si>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</si>
  <si>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</si>
  <si>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</si>
  <si>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</si>
  <si>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</si>
  <si>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</si>
  <si>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</si>
  <si>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</si>
  <si>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</si>
  <si>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</si>
  <si>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</si>
  <si>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</si>
  <si>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</si>
  <si>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</si>
  <si>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</si>
  <si>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</si>
  <si>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</si>
  <si>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</si>
  <si>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</si>
  <si>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</si>
  <si>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</si>
  <si>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</si>
  <si>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</si>
  <si>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</si>
  <si>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</si>
  <si>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</si>
  <si>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</si>
  <si>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</si>
  <si>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</si>
  <si>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</si>
  <si>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</si>
  <si>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</si>
  <si>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</si>
  <si>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</si>
  <si>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</si>
  <si>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</si>
  <si>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</si>
  <si>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</si>
  <si>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</si>
  <si>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</si>
  <si>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</si>
  <si>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</si>
  <si>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</si>
  <si>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</si>
  <si>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</si>
  <si>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</si>
  <si>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</si>
  <si>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</si>
  <si>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</si>
  <si>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</si>
  <si>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</si>
  <si>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</si>
  <si>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</si>
  <si>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</si>
  <si>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</si>
  <si>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</si>
  <si>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</si>
  <si>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</si>
  <si>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</si>
  <si>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</si>
  <si>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</si>
  <si>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</si>
  <si>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</si>
  <si>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</si>
  <si>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</si>
  <si>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</si>
  <si>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</si>
  <si>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</si>
  <si>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</si>
  <si>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</si>
  <si>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</si>
  <si>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</si>
  <si>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</si>
  <si>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</si>
  <si>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</si>
  <si>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</si>
  <si>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</si>
  <si>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</si>
  <si>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</si>
  <si>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</si>
  <si>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</si>
  <si>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</si>
  <si>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</si>
  <si>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</si>
  <si>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</si>
  <si>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</si>
  <si>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</si>
  <si>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</si>
  <si>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</si>
  <si>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</si>
  <si>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</si>
  <si>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</si>
  <si>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</si>
  <si>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</si>
  <si>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</si>
  <si>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</si>
  <si>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</si>
  <si>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</si>
  <si>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</si>
  <si>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</si>
  <si>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</si>
  <si>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</si>
  <si>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</si>
  <si>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</si>
  <si>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</si>
  <si>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</si>
  <si>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</si>
  <si>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</si>
  <si>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</si>
  <si>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</si>
  <si>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</si>
  <si>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</si>
  <si>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</si>
  <si>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</si>
  <si>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</si>
  <si>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</si>
  <si>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</si>
  <si>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</si>
  <si>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</si>
  <si>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</si>
  <si>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</si>
  <si>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</si>
  <si>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</si>
  <si>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</si>
  <si>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</si>
  <si>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</si>
  <si>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</si>
  <si>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</si>
  <si>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</si>
  <si>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</si>
  <si>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</si>
  <si>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</si>
  <si>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</si>
  <si>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</si>
  <si>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</si>
  <si>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</si>
  <si>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</si>
  <si>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</si>
  <si>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</si>
  <si>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</si>
  <si>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</si>
  <si>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</si>
  <si>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</si>
  <si>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</si>
  <si>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</si>
  <si>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</si>
  <si>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</si>
  <si>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</si>
  <si>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</si>
  <si>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</si>
  <si>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</si>
  <si>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</si>
  <si>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</si>
  <si>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</si>
  <si>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</si>
  <si>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</si>
  <si>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</si>
  <si>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</si>
  <si>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</si>
  <si>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</si>
  <si>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</si>
  <si>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</si>
  <si>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</si>
  <si>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</si>
  <si>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</si>
  <si>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</si>
  <si>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</si>
  <si>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</si>
  <si>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</si>
  <si>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</si>
  <si>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</si>
  <si>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</si>
  <si>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</si>
  <si>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</si>
  <si>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</si>
  <si>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</si>
  <si>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</si>
  <si>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</si>
  <si>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</si>
  <si>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</si>
  <si>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</si>
  <si>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</si>
  <si>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</si>
  <si>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</si>
  <si>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</si>
  <si>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</si>
  <si>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</si>
  <si>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</si>
  <si>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</si>
  <si>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</si>
  <si>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</si>
  <si>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</si>
  <si>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</si>
  <si>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</si>
  <si>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</si>
  <si>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</si>
  <si>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</si>
  <si>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</si>
  <si>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</si>
  <si>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</si>
  <si>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</si>
  <si>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</si>
  <si>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</si>
  <si>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</si>
  <si>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</si>
  <si>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</si>
  <si>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</si>
  <si>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</si>
  <si>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</si>
  <si>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</si>
  <si>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</si>
  <si>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</si>
  <si>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</si>
  <si>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</si>
  <si>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</si>
  <si>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</si>
  <si>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</si>
  <si>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</si>
  <si>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</si>
  <si>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</si>
  <si>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</si>
  <si>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</si>
  <si>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</si>
  <si>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</si>
  <si>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</si>
  <si>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</si>
  <si>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</si>
  <si>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</si>
  <si>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</si>
  <si>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</si>
  <si>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</si>
  <si>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</si>
  <si>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</si>
  <si>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</si>
  <si>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</si>
  <si>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</si>
  <si>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</si>
  <si>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</si>
  <si>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</si>
  <si>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</si>
  <si>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</si>
  <si>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</si>
  <si>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</si>
  <si>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</si>
  <si>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</si>
  <si>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</si>
  <si>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</si>
  <si>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</si>
  <si>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</si>
  <si>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</si>
  <si>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</si>
  <si>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</si>
  <si>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</si>
  <si>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</si>
  <si>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</si>
  <si>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</si>
  <si>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</si>
  <si>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</si>
  <si>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</si>
  <si>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</si>
  <si>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</si>
  <si>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</si>
  <si>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</si>
  <si>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</si>
  <si>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</si>
  <si>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</si>
  <si>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</si>
  <si>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</si>
  <si>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</si>
  <si>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</si>
  <si>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</si>
  <si>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</si>
  <si>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</si>
  <si>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</si>
  <si>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</si>
  <si>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</si>
  <si>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</si>
  <si>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</si>
  <si>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</si>
  <si>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</si>
  <si>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</si>
  <si>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</si>
  <si>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</si>
  <si>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</si>
  <si>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</si>
  <si>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</si>
  <si>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</si>
  <si>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</si>
  <si>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</si>
  <si>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</si>
  <si>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</si>
  <si>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</si>
  <si>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</si>
  <si>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</si>
  <si>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</si>
  <si>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07/14</t>
  </si>
  <si>
    <t>08/34</t>
  </si>
  <si>
    <t>Lyme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</si>
</sst>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>
        <v>327</v>
      </c>
      <c r="C2" s="21">
        <v>327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255026.84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1061.8499999999999</v>
      </c>
      <c r="H13" s="18">
        <v>38003.46</v>
      </c>
      <c r="I13" s="18"/>
      <c r="J13" s="67">
        <f>SUM(I442)</f>
        <v>985342.34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38003.46</v>
      </c>
      <c r="G14" s="18">
        <v>2259.25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2500</v>
      </c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295530.3</v>
      </c>
      <c r="G19" s="41">
        <f>SUM(G9:G18)</f>
        <v>3321.1</v>
      </c>
      <c r="H19" s="41">
        <f>SUM(H9:H18)</f>
        <v>38003.46</v>
      </c>
      <c r="I19" s="41">
        <f>SUM(I9:I18)</f>
        <v>0</v>
      </c>
      <c r="J19" s="41">
        <f>SUM(J9:J18)</f>
        <v>985342.34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-938.75</v>
      </c>
      <c r="G22" s="18">
        <v>938.75</v>
      </c>
      <c r="H22" s="18">
        <v>38003.46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42111.8</v>
      </c>
      <c r="G24" s="18">
        <v>2382.35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41173.050000000003</v>
      </c>
      <c r="G32" s="41">
        <f>SUM(G22:G31)</f>
        <v>3321.1</v>
      </c>
      <c r="H32" s="41">
        <f>SUM(H22:H31)</f>
        <v>38003.46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985342.34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120000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15811.17</v>
      </c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33770.22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84775.86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254357.25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985342.34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295530.3</v>
      </c>
      <c r="G52" s="41">
        <f>G51+G32</f>
        <v>3321.1</v>
      </c>
      <c r="H52" s="41">
        <f>H51+H32</f>
        <v>38003.46</v>
      </c>
      <c r="I52" s="41">
        <f>I51+I32</f>
        <v>0</v>
      </c>
      <c r="J52" s="41">
        <f>J51+J32</f>
        <v>985342.34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5497121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5497121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18862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18862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745.24</v>
      </c>
      <c r="G96" s="18"/>
      <c r="H96" s="18"/>
      <c r="I96" s="18"/>
      <c r="J96" s="18">
        <v>8624.39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67381.25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11354.02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18240.95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30340.21</v>
      </c>
      <c r="G111" s="41">
        <f>SUM(G96:G110)</f>
        <v>67381.25</v>
      </c>
      <c r="H111" s="41">
        <f>SUM(H96:H110)</f>
        <v>0</v>
      </c>
      <c r="I111" s="41">
        <f>SUM(I96:I110)</f>
        <v>0</v>
      </c>
      <c r="J111" s="41">
        <f>SUM(J96:J110)</f>
        <v>8624.39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5546323.21</v>
      </c>
      <c r="G112" s="41">
        <f>G60+G111</f>
        <v>67381.25</v>
      </c>
      <c r="H112" s="41">
        <f>H60+H79+H94+H111</f>
        <v>0</v>
      </c>
      <c r="I112" s="41">
        <f>I60+I111</f>
        <v>0</v>
      </c>
      <c r="J112" s="41">
        <f>J60+J111</f>
        <v>8624.39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469636.65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754596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696.77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1224929.42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6693.35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1084.3599999999999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31474.400000000001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6693.35</v>
      </c>
      <c r="G136" s="41">
        <f>SUM(G123:G135)</f>
        <v>1084.3599999999999</v>
      </c>
      <c r="H136" s="41">
        <f>SUM(H123:H135)</f>
        <v>31474.400000000001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1231622.77</v>
      </c>
      <c r="G140" s="41">
        <f>G121+SUM(G136:G137)</f>
        <v>1084.3599999999999</v>
      </c>
      <c r="H140" s="41">
        <f>H121+SUM(H136:H139)</f>
        <v>31474.400000000001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>
        <v>3403.99</v>
      </c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3403.99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0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28647.11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14528.43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52599.78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8905.19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8905.19</v>
      </c>
      <c r="G162" s="41">
        <f>SUM(G150:G161)</f>
        <v>14528.43</v>
      </c>
      <c r="H162" s="41">
        <f>SUM(H150:H161)</f>
        <v>81246.89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409.84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9315.0300000000007</v>
      </c>
      <c r="G169" s="41">
        <f>G147+G162+SUM(G163:G168)</f>
        <v>17932.419999999998</v>
      </c>
      <c r="H169" s="41">
        <f>H147+H162+SUM(H163:H168)</f>
        <v>81246.89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27208.34</v>
      </c>
      <c r="H179" s="18"/>
      <c r="I179" s="18"/>
      <c r="J179" s="18">
        <v>52222.91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27208.34</v>
      </c>
      <c r="H183" s="41">
        <f>SUM(H179:H182)</f>
        <v>0</v>
      </c>
      <c r="I183" s="41">
        <f>SUM(I179:I182)</f>
        <v>0</v>
      </c>
      <c r="J183" s="41">
        <f>SUM(J179:J182)</f>
        <v>52222.91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27208.34</v>
      </c>
      <c r="H192" s="41">
        <f>+H183+SUM(H188:H191)</f>
        <v>0</v>
      </c>
      <c r="I192" s="41">
        <f>I177+I183+SUM(I188:I191)</f>
        <v>0</v>
      </c>
      <c r="J192" s="41">
        <f>J183</f>
        <v>52222.91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6787261.0100000007</v>
      </c>
      <c r="G193" s="47">
        <f>G112+G140+G169+G192</f>
        <v>113606.37</v>
      </c>
      <c r="H193" s="47">
        <f>H112+H140+H169+H192</f>
        <v>112721.29000000001</v>
      </c>
      <c r="I193" s="47">
        <f>I112+I140+I169+I192</f>
        <v>0</v>
      </c>
      <c r="J193" s="47">
        <f>J112+J140+J192</f>
        <v>60847.3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1348188.86</v>
      </c>
      <c r="G197" s="18">
        <v>630927.78</v>
      </c>
      <c r="H197" s="18">
        <v>33724.06</v>
      </c>
      <c r="I197" s="18">
        <v>46169.120000000003</v>
      </c>
      <c r="J197" s="18">
        <v>28763.77</v>
      </c>
      <c r="K197" s="18"/>
      <c r="L197" s="19">
        <f>SUM(F197:K197)</f>
        <v>2087773.5900000003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472488.15</v>
      </c>
      <c r="G198" s="18">
        <v>164618.69</v>
      </c>
      <c r="H198" s="18">
        <v>17580.79</v>
      </c>
      <c r="I198" s="18">
        <v>2652.51</v>
      </c>
      <c r="J198" s="18">
        <v>1870.67</v>
      </c>
      <c r="K198" s="18"/>
      <c r="L198" s="19">
        <f>SUM(F198:K198)</f>
        <v>659210.81000000017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93894.19</v>
      </c>
      <c r="G202" s="18">
        <v>24927.47</v>
      </c>
      <c r="H202" s="18">
        <v>133958.26</v>
      </c>
      <c r="I202" s="18">
        <v>1325.63</v>
      </c>
      <c r="J202" s="18"/>
      <c r="K202" s="18"/>
      <c r="L202" s="19">
        <f t="shared" ref="L202:L208" si="0">SUM(F202:K202)</f>
        <v>254105.55000000002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34071.71</v>
      </c>
      <c r="G203" s="18">
        <v>23947.85</v>
      </c>
      <c r="H203" s="18">
        <v>7112.49</v>
      </c>
      <c r="I203" s="18">
        <v>360</v>
      </c>
      <c r="J203" s="18"/>
      <c r="K203" s="18"/>
      <c r="L203" s="19">
        <f t="shared" si="0"/>
        <v>65492.049999999996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98064.26</v>
      </c>
      <c r="G204" s="18">
        <v>50138.52</v>
      </c>
      <c r="H204" s="18">
        <v>44739.49</v>
      </c>
      <c r="I204" s="18">
        <v>1360.52</v>
      </c>
      <c r="J204" s="18">
        <v>1268</v>
      </c>
      <c r="K204" s="18">
        <v>3328.96</v>
      </c>
      <c r="L204" s="19">
        <f t="shared" si="0"/>
        <v>198899.74999999997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272986.67</v>
      </c>
      <c r="G205" s="18">
        <v>96650.29</v>
      </c>
      <c r="H205" s="18">
        <v>10673.08</v>
      </c>
      <c r="I205" s="18">
        <v>1664.29</v>
      </c>
      <c r="J205" s="18">
        <v>3672</v>
      </c>
      <c r="K205" s="18">
        <v>10.11</v>
      </c>
      <c r="L205" s="19">
        <f t="shared" si="0"/>
        <v>385656.43999999994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93701.84</v>
      </c>
      <c r="G207" s="18">
        <v>67468.19</v>
      </c>
      <c r="H207" s="18">
        <v>81311.44</v>
      </c>
      <c r="I207" s="18">
        <v>74480.52</v>
      </c>
      <c r="J207" s="18">
        <v>14900.51</v>
      </c>
      <c r="K207" s="18"/>
      <c r="L207" s="19">
        <f t="shared" si="0"/>
        <v>331862.5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9379.3700000000008</v>
      </c>
      <c r="G208" s="18">
        <v>1627.74</v>
      </c>
      <c r="H208" s="18">
        <v>109989.12</v>
      </c>
      <c r="I208" s="18">
        <v>1396.62</v>
      </c>
      <c r="J208" s="18"/>
      <c r="K208" s="18"/>
      <c r="L208" s="19">
        <f t="shared" si="0"/>
        <v>122392.84999999999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2422775.0500000003</v>
      </c>
      <c r="G211" s="41">
        <f t="shared" si="1"/>
        <v>1060306.53</v>
      </c>
      <c r="H211" s="41">
        <f t="shared" si="1"/>
        <v>439088.73</v>
      </c>
      <c r="I211" s="41">
        <f t="shared" si="1"/>
        <v>129409.20999999999</v>
      </c>
      <c r="J211" s="41">
        <f t="shared" si="1"/>
        <v>50474.950000000004</v>
      </c>
      <c r="K211" s="41">
        <f t="shared" si="1"/>
        <v>3339.07</v>
      </c>
      <c r="L211" s="41">
        <f t="shared" si="1"/>
        <v>4105393.54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1775895.8</v>
      </c>
      <c r="I233" s="18"/>
      <c r="J233" s="18"/>
      <c r="K233" s="18"/>
      <c r="L233" s="19">
        <f>SUM(F233:K233)</f>
        <v>1775895.8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80243.210000000006</v>
      </c>
      <c r="G234" s="18">
        <v>39143.089999999997</v>
      </c>
      <c r="H234" s="18">
        <v>331559.23</v>
      </c>
      <c r="I234" s="18"/>
      <c r="J234" s="18"/>
      <c r="K234" s="18"/>
      <c r="L234" s="19">
        <f>SUM(F234:K234)</f>
        <v>450945.52999999997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80243.210000000006</v>
      </c>
      <c r="G247" s="41">
        <f t="shared" si="5"/>
        <v>39143.089999999997</v>
      </c>
      <c r="H247" s="41">
        <f t="shared" si="5"/>
        <v>2107455.0300000003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2226841.33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2503018.2600000002</v>
      </c>
      <c r="G257" s="41">
        <f t="shared" si="8"/>
        <v>1099449.6200000001</v>
      </c>
      <c r="H257" s="41">
        <f t="shared" si="8"/>
        <v>2546543.7600000002</v>
      </c>
      <c r="I257" s="41">
        <f t="shared" si="8"/>
        <v>129409.20999999999</v>
      </c>
      <c r="J257" s="41">
        <f t="shared" si="8"/>
        <v>50474.950000000004</v>
      </c>
      <c r="K257" s="41">
        <f t="shared" si="8"/>
        <v>3339.07</v>
      </c>
      <c r="L257" s="41">
        <f t="shared" si="8"/>
        <v>6332234.8700000001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90000</v>
      </c>
      <c r="L260" s="19">
        <f>SUM(F260:K260)</f>
        <v>90000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105130</v>
      </c>
      <c r="L261" s="19">
        <f>SUM(F261:K261)</f>
        <v>105130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27208.34</v>
      </c>
      <c r="L263" s="19">
        <f>SUM(F263:K263)</f>
        <v>27208.34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52222.91</v>
      </c>
      <c r="L266" s="19">
        <f t="shared" si="9"/>
        <v>52222.91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274561.25</v>
      </c>
      <c r="L270" s="41">
        <f t="shared" si="9"/>
        <v>274561.25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2503018.2600000002</v>
      </c>
      <c r="G271" s="42">
        <f t="shared" si="11"/>
        <v>1099449.6200000001</v>
      </c>
      <c r="H271" s="42">
        <f t="shared" si="11"/>
        <v>2546543.7600000002</v>
      </c>
      <c r="I271" s="42">
        <f t="shared" si="11"/>
        <v>129409.20999999999</v>
      </c>
      <c r="J271" s="42">
        <f t="shared" si="11"/>
        <v>50474.950000000004</v>
      </c>
      <c r="K271" s="42">
        <f t="shared" si="11"/>
        <v>277900.32</v>
      </c>
      <c r="L271" s="42">
        <f t="shared" si="11"/>
        <v>6606796.1200000001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10603.01</v>
      </c>
      <c r="G277" s="18"/>
      <c r="H277" s="18">
        <v>650</v>
      </c>
      <c r="I277" s="18">
        <v>509.88</v>
      </c>
      <c r="J277" s="18"/>
      <c r="K277" s="18"/>
      <c r="L277" s="19">
        <f>SUM(F277:K277)</f>
        <v>11762.89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>
        <v>1725</v>
      </c>
      <c r="H281" s="18">
        <v>63093.99</v>
      </c>
      <c r="I281" s="18">
        <v>143.01</v>
      </c>
      <c r="J281" s="18">
        <v>3122</v>
      </c>
      <c r="K281" s="18"/>
      <c r="L281" s="19">
        <f t="shared" ref="L281:L287" si="12">SUM(F281:K281)</f>
        <v>68084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1400</v>
      </c>
      <c r="I282" s="18"/>
      <c r="J282" s="18"/>
      <c r="K282" s="18"/>
      <c r="L282" s="19">
        <f t="shared" si="12"/>
        <v>1400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31474.400000000001</v>
      </c>
      <c r="I286" s="18"/>
      <c r="J286" s="18"/>
      <c r="K286" s="18"/>
      <c r="L286" s="19">
        <f t="shared" si="12"/>
        <v>31474.400000000001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10603.01</v>
      </c>
      <c r="G290" s="42">
        <f t="shared" si="13"/>
        <v>1725</v>
      </c>
      <c r="H290" s="42">
        <f t="shared" si="13"/>
        <v>96618.39</v>
      </c>
      <c r="I290" s="42">
        <f t="shared" si="13"/>
        <v>652.89</v>
      </c>
      <c r="J290" s="42">
        <f t="shared" si="13"/>
        <v>3122</v>
      </c>
      <c r="K290" s="42">
        <f t="shared" si="13"/>
        <v>0</v>
      </c>
      <c r="L290" s="41">
        <f t="shared" si="13"/>
        <v>112721.29000000001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10603.01</v>
      </c>
      <c r="G338" s="41">
        <f t="shared" si="20"/>
        <v>1725</v>
      </c>
      <c r="H338" s="41">
        <f t="shared" si="20"/>
        <v>96618.39</v>
      </c>
      <c r="I338" s="41">
        <f t="shared" si="20"/>
        <v>652.89</v>
      </c>
      <c r="J338" s="41">
        <f t="shared" si="20"/>
        <v>3122</v>
      </c>
      <c r="K338" s="41">
        <f t="shared" si="20"/>
        <v>0</v>
      </c>
      <c r="L338" s="41">
        <f t="shared" si="20"/>
        <v>112721.29000000001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10603.01</v>
      </c>
      <c r="G352" s="41">
        <f>G338</f>
        <v>1725</v>
      </c>
      <c r="H352" s="41">
        <f>H338</f>
        <v>96618.39</v>
      </c>
      <c r="I352" s="41">
        <f>I338</f>
        <v>652.89</v>
      </c>
      <c r="J352" s="41">
        <f>J338</f>
        <v>3122</v>
      </c>
      <c r="K352" s="47">
        <f>K338+K351</f>
        <v>0</v>
      </c>
      <c r="L352" s="41">
        <f>L338+L351</f>
        <v>112721.29000000001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37760.199999999997</v>
      </c>
      <c r="G358" s="18">
        <v>15861.32</v>
      </c>
      <c r="H358" s="18"/>
      <c r="I358" s="18">
        <v>59984.85</v>
      </c>
      <c r="J358" s="18"/>
      <c r="K358" s="18"/>
      <c r="L358" s="13">
        <f>SUM(F358:K358)</f>
        <v>113606.37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37760.199999999997</v>
      </c>
      <c r="G362" s="47">
        <f t="shared" si="22"/>
        <v>15861.32</v>
      </c>
      <c r="H362" s="47">
        <f t="shared" si="22"/>
        <v>0</v>
      </c>
      <c r="I362" s="47">
        <f t="shared" si="22"/>
        <v>59984.85</v>
      </c>
      <c r="J362" s="47">
        <f t="shared" si="22"/>
        <v>0</v>
      </c>
      <c r="K362" s="47">
        <f t="shared" si="22"/>
        <v>0</v>
      </c>
      <c r="L362" s="47">
        <f t="shared" si="22"/>
        <v>113606.37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53383.73</v>
      </c>
      <c r="G367" s="18"/>
      <c r="H367" s="18"/>
      <c r="I367" s="56">
        <f>SUM(F367:H367)</f>
        <v>53383.73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6601.12</v>
      </c>
      <c r="G368" s="63"/>
      <c r="H368" s="63"/>
      <c r="I368" s="56">
        <f>SUM(F368:H368)</f>
        <v>6601.12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59984.850000000006</v>
      </c>
      <c r="G369" s="47">
        <f>SUM(G367:G368)</f>
        <v>0</v>
      </c>
      <c r="H369" s="47">
        <f>SUM(H367:H368)</f>
        <v>0</v>
      </c>
      <c r="I369" s="47">
        <f>SUM(I367:I368)</f>
        <v>59984.850000000006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577.70000000000005</v>
      </c>
      <c r="I396" s="18"/>
      <c r="J396" s="24" t="s">
        <v>286</v>
      </c>
      <c r="K396" s="24" t="s">
        <v>286</v>
      </c>
      <c r="L396" s="56">
        <f t="shared" si="26"/>
        <v>577.70000000000005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17222.91</v>
      </c>
      <c r="H397" s="18">
        <v>2345.2199999999998</v>
      </c>
      <c r="I397" s="18"/>
      <c r="J397" s="24" t="s">
        <v>286</v>
      </c>
      <c r="K397" s="24" t="s">
        <v>286</v>
      </c>
      <c r="L397" s="56">
        <f t="shared" si="26"/>
        <v>19568.13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25000</v>
      </c>
      <c r="H398" s="18">
        <v>4760.26</v>
      </c>
      <c r="I398" s="18"/>
      <c r="J398" s="24" t="s">
        <v>286</v>
      </c>
      <c r="K398" s="24" t="s">
        <v>286</v>
      </c>
      <c r="L398" s="56">
        <f t="shared" si="26"/>
        <v>29760.260000000002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10000</v>
      </c>
      <c r="H400" s="18">
        <v>941.21</v>
      </c>
      <c r="I400" s="18"/>
      <c r="J400" s="24" t="s">
        <v>286</v>
      </c>
      <c r="K400" s="24" t="s">
        <v>286</v>
      </c>
      <c r="L400" s="56">
        <f t="shared" si="26"/>
        <v>10941.21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52222.91</v>
      </c>
      <c r="H401" s="47">
        <f>SUM(H395:H400)</f>
        <v>8624.39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60847.3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52222.91</v>
      </c>
      <c r="H408" s="47">
        <f>H393+H401+H407</f>
        <v>8624.39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60847.3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330.44</v>
      </c>
      <c r="I422" s="18"/>
      <c r="J422" s="18"/>
      <c r="K422" s="18"/>
      <c r="L422" s="56">
        <f t="shared" si="29"/>
        <v>330.44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>
        <v>1346.98</v>
      </c>
      <c r="I423" s="18"/>
      <c r="J423" s="18"/>
      <c r="K423" s="18"/>
      <c r="L423" s="56">
        <f t="shared" si="29"/>
        <v>1346.98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>
        <v>2730.86</v>
      </c>
      <c r="I424" s="18"/>
      <c r="J424" s="18"/>
      <c r="K424" s="18"/>
      <c r="L424" s="56">
        <f t="shared" si="29"/>
        <v>2730.86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>
        <v>541.58000000000004</v>
      </c>
      <c r="I426" s="18"/>
      <c r="J426" s="18"/>
      <c r="K426" s="18"/>
      <c r="L426" s="56">
        <f t="shared" si="29"/>
        <v>541.58000000000004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4949.8600000000006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4949.8600000000006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4949.8600000000006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4949.8600000000006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985342.34</v>
      </c>
      <c r="G442" s="18"/>
      <c r="H442" s="18"/>
      <c r="I442" s="56">
        <f t="shared" si="33"/>
        <v>985342.34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985342.34</v>
      </c>
      <c r="G446" s="13">
        <f>SUM(G439:G445)</f>
        <v>0</v>
      </c>
      <c r="H446" s="13">
        <f>SUM(H439:H445)</f>
        <v>0</v>
      </c>
      <c r="I446" s="13">
        <f>SUM(I439:I445)</f>
        <v>985342.34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985342.34</v>
      </c>
      <c r="G456" s="18"/>
      <c r="H456" s="18"/>
      <c r="I456" s="56">
        <f t="shared" si="34"/>
        <v>985342.34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985342.34</v>
      </c>
      <c r="G460" s="83">
        <f>SUM(G454:G459)</f>
        <v>0</v>
      </c>
      <c r="H460" s="83">
        <f>SUM(H454:H459)</f>
        <v>0</v>
      </c>
      <c r="I460" s="83">
        <f>SUM(I454:I459)</f>
        <v>985342.34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985342.34</v>
      </c>
      <c r="G461" s="42">
        <f>G452+G460</f>
        <v>0</v>
      </c>
      <c r="H461" s="42">
        <f>H452+H460</f>
        <v>0</v>
      </c>
      <c r="I461" s="42">
        <f>I452+I460</f>
        <v>985342.34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73892.36</v>
      </c>
      <c r="G465" s="18">
        <v>0</v>
      </c>
      <c r="H465" s="18">
        <v>0</v>
      </c>
      <c r="I465" s="18"/>
      <c r="J465" s="18">
        <v>929444.9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6787261.0099999998</v>
      </c>
      <c r="G468" s="18">
        <v>113606.37</v>
      </c>
      <c r="H468" s="18">
        <v>112721.29</v>
      </c>
      <c r="I468" s="18"/>
      <c r="J468" s="18">
        <v>60847.3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6787261.0099999998</v>
      </c>
      <c r="G470" s="53">
        <f>SUM(G468:G469)</f>
        <v>113606.37</v>
      </c>
      <c r="H470" s="53">
        <f>SUM(H468:H469)</f>
        <v>112721.29</v>
      </c>
      <c r="I470" s="53">
        <f>SUM(I468:I469)</f>
        <v>0</v>
      </c>
      <c r="J470" s="53">
        <f>SUM(J468:J469)</f>
        <v>60847.3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6606796.1200000001</v>
      </c>
      <c r="G472" s="18">
        <v>113606.37</v>
      </c>
      <c r="H472" s="18">
        <v>112721.29</v>
      </c>
      <c r="I472" s="18"/>
      <c r="J472" s="18">
        <v>4949.8599999999997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6606796.1200000001</v>
      </c>
      <c r="G474" s="53">
        <f>SUM(G472:G473)</f>
        <v>113606.37</v>
      </c>
      <c r="H474" s="53">
        <f>SUM(H472:H473)</f>
        <v>112721.29</v>
      </c>
      <c r="I474" s="53">
        <f>SUM(I472:I473)</f>
        <v>0</v>
      </c>
      <c r="J474" s="53">
        <f>SUM(J472:J473)</f>
        <v>4949.8599999999997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254357.25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985342.34000000008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2850000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3.3635000000000002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2475000</v>
      </c>
      <c r="G495" s="18"/>
      <c r="H495" s="18"/>
      <c r="I495" s="18"/>
      <c r="J495" s="18"/>
      <c r="K495" s="53">
        <f>SUM(F495:J495)</f>
        <v>2475000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90000</v>
      </c>
      <c r="G497" s="18"/>
      <c r="H497" s="18"/>
      <c r="I497" s="18"/>
      <c r="J497" s="18"/>
      <c r="K497" s="53">
        <f t="shared" si="35"/>
        <v>90000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2385000</v>
      </c>
      <c r="G498" s="204"/>
      <c r="H498" s="204"/>
      <c r="I498" s="204"/>
      <c r="J498" s="204"/>
      <c r="K498" s="205">
        <f t="shared" si="35"/>
        <v>2385000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936294</v>
      </c>
      <c r="G499" s="18"/>
      <c r="H499" s="18"/>
      <c r="I499" s="18"/>
      <c r="J499" s="18"/>
      <c r="K499" s="53">
        <f t="shared" si="35"/>
        <v>936294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3321294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3321294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95000</v>
      </c>
      <c r="G501" s="204"/>
      <c r="H501" s="204"/>
      <c r="I501" s="204"/>
      <c r="J501" s="204"/>
      <c r="K501" s="205">
        <f t="shared" si="35"/>
        <v>95000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100412</v>
      </c>
      <c r="G502" s="18"/>
      <c r="H502" s="18"/>
      <c r="I502" s="18"/>
      <c r="J502" s="18"/>
      <c r="K502" s="53">
        <f t="shared" si="35"/>
        <v>100412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195412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195412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483091.16</v>
      </c>
      <c r="G521" s="18">
        <v>164618.69</v>
      </c>
      <c r="H521" s="18">
        <v>18230.79</v>
      </c>
      <c r="I521" s="18">
        <v>3162.39</v>
      </c>
      <c r="J521" s="18">
        <v>1870.67</v>
      </c>
      <c r="K521" s="18"/>
      <c r="L521" s="88">
        <f>SUM(F521:K521)</f>
        <v>670973.70000000007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80243.210000000006</v>
      </c>
      <c r="G523" s="18">
        <v>39143.089999999997</v>
      </c>
      <c r="H523" s="18">
        <v>331188.23</v>
      </c>
      <c r="I523" s="18"/>
      <c r="J523" s="18"/>
      <c r="K523" s="18"/>
      <c r="L523" s="88">
        <f>SUM(F523:K523)</f>
        <v>450574.52999999997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563334.37</v>
      </c>
      <c r="G524" s="108">
        <f t="shared" ref="G524:L524" si="36">SUM(G521:G523)</f>
        <v>203761.78</v>
      </c>
      <c r="H524" s="108">
        <f t="shared" si="36"/>
        <v>349419.01999999996</v>
      </c>
      <c r="I524" s="108">
        <f t="shared" si="36"/>
        <v>3162.39</v>
      </c>
      <c r="J524" s="108">
        <f t="shared" si="36"/>
        <v>1870.67</v>
      </c>
      <c r="K524" s="108">
        <f t="shared" si="36"/>
        <v>0</v>
      </c>
      <c r="L524" s="89">
        <f t="shared" si="36"/>
        <v>1121548.23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>
        <v>6132.11</v>
      </c>
      <c r="H526" s="18">
        <v>173926.5</v>
      </c>
      <c r="I526" s="18"/>
      <c r="J526" s="18"/>
      <c r="K526" s="18"/>
      <c r="L526" s="88">
        <f>SUM(F526:K526)</f>
        <v>180058.61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6132.11</v>
      </c>
      <c r="H529" s="89">
        <f t="shared" si="37"/>
        <v>173926.5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180058.61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371</v>
      </c>
      <c r="I538" s="18"/>
      <c r="J538" s="18"/>
      <c r="K538" s="18"/>
      <c r="L538" s="88">
        <f>SUM(F538:K538)</f>
        <v>371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371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371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563334.37</v>
      </c>
      <c r="G545" s="89">
        <f t="shared" ref="G545:L545" si="41">G524+G529+G534+G539+G544</f>
        <v>209893.88999999998</v>
      </c>
      <c r="H545" s="89">
        <f t="shared" si="41"/>
        <v>523716.51999999996</v>
      </c>
      <c r="I545" s="89">
        <f t="shared" si="41"/>
        <v>3162.39</v>
      </c>
      <c r="J545" s="89">
        <f t="shared" si="41"/>
        <v>1870.67</v>
      </c>
      <c r="K545" s="89">
        <f t="shared" si="41"/>
        <v>0</v>
      </c>
      <c r="L545" s="89">
        <f t="shared" si="41"/>
        <v>1301977.8399999999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670973.70000000007</v>
      </c>
      <c r="G549" s="87">
        <f>L526</f>
        <v>180058.61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851032.31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450574.52999999997</v>
      </c>
      <c r="G551" s="87">
        <f>L528</f>
        <v>0</v>
      </c>
      <c r="H551" s="87">
        <f>L533</f>
        <v>0</v>
      </c>
      <c r="I551" s="87">
        <f>L538</f>
        <v>371</v>
      </c>
      <c r="J551" s="87">
        <f>L543</f>
        <v>0</v>
      </c>
      <c r="K551" s="87">
        <f>SUM(F551:J551)</f>
        <v>450945.52999999997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1121548.23</v>
      </c>
      <c r="G552" s="89">
        <f t="shared" si="42"/>
        <v>180058.61</v>
      </c>
      <c r="H552" s="89">
        <f t="shared" si="42"/>
        <v>0</v>
      </c>
      <c r="I552" s="89">
        <f t="shared" si="42"/>
        <v>371</v>
      </c>
      <c r="J552" s="89">
        <f t="shared" si="42"/>
        <v>0</v>
      </c>
      <c r="K552" s="89">
        <f t="shared" si="42"/>
        <v>1301977.8400000001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1066123.3</v>
      </c>
      <c r="I575" s="87">
        <f>SUM(F575:H575)</f>
        <v>1066123.3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v>652762.5</v>
      </c>
      <c r="I576" s="87">
        <f t="shared" ref="I576:I587" si="47">SUM(F576:H576)</f>
        <v>652762.5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0</v>
      </c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122545.52</v>
      </c>
      <c r="I580" s="87">
        <f t="shared" si="47"/>
        <v>122545.52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>
        <v>169110.47</v>
      </c>
      <c r="I582" s="87">
        <f t="shared" si="47"/>
        <v>169110.47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53510</v>
      </c>
      <c r="I585" s="87">
        <f t="shared" si="47"/>
        <v>53510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122392.85</v>
      </c>
      <c r="I591" s="18"/>
      <c r="J591" s="18"/>
      <c r="K591" s="104">
        <f t="shared" ref="K591:K597" si="48">SUM(H591:J591)</f>
        <v>122392.85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122392.85</v>
      </c>
      <c r="I598" s="108">
        <f>SUM(I591:I597)</f>
        <v>0</v>
      </c>
      <c r="J598" s="108">
        <f>SUM(J591:J597)</f>
        <v>0</v>
      </c>
      <c r="K598" s="108">
        <f>SUM(K591:K597)</f>
        <v>122392.85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53596.95</v>
      </c>
      <c r="I604" s="18"/>
      <c r="J604" s="18"/>
      <c r="K604" s="104">
        <f>SUM(H604:J604)</f>
        <v>53596.95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53596.95</v>
      </c>
      <c r="I605" s="108">
        <f>SUM(I602:I604)</f>
        <v>0</v>
      </c>
      <c r="J605" s="108">
        <f>SUM(J602:J604)</f>
        <v>0</v>
      </c>
      <c r="K605" s="108">
        <f>SUM(K602:K604)</f>
        <v>53596.95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295530.3</v>
      </c>
      <c r="H617" s="109">
        <f>SUM(F52)</f>
        <v>295530.3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3321.1</v>
      </c>
      <c r="H618" s="109">
        <f>SUM(G52)</f>
        <v>3321.1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38003.46</v>
      </c>
      <c r="H619" s="109">
        <f>SUM(H52)</f>
        <v>38003.46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985342.34</v>
      </c>
      <c r="H621" s="109">
        <f>SUM(J52)</f>
        <v>985342.34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254357.25</v>
      </c>
      <c r="H622" s="109">
        <f>F476</f>
        <v>254357.25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985342.34</v>
      </c>
      <c r="H626" s="109">
        <f>J476</f>
        <v>985342.34000000008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6787261.0100000007</v>
      </c>
      <c r="H627" s="104">
        <f>SUM(F468)</f>
        <v>6787261.0099999998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113606.37</v>
      </c>
      <c r="H628" s="104">
        <f>SUM(G468)</f>
        <v>113606.37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112721.29000000001</v>
      </c>
      <c r="H629" s="104">
        <f>SUM(H468)</f>
        <v>112721.29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60847.3</v>
      </c>
      <c r="H631" s="104">
        <f>SUM(J468)</f>
        <v>60847.3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6606796.1200000001</v>
      </c>
      <c r="H632" s="104">
        <f>SUM(F472)</f>
        <v>6606796.1200000001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112721.29000000001</v>
      </c>
      <c r="H633" s="104">
        <f>SUM(H472)</f>
        <v>112721.29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59984.85</v>
      </c>
      <c r="H634" s="104">
        <f>I369</f>
        <v>59984.850000000006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113606.37</v>
      </c>
      <c r="H635" s="104">
        <f>SUM(G472)</f>
        <v>113606.37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60847.3</v>
      </c>
      <c r="H637" s="164">
        <f>SUM(J468)</f>
        <v>60847.3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4949.8600000000006</v>
      </c>
      <c r="H638" s="164">
        <f>SUM(J472)</f>
        <v>4949.8599999999997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985342.34</v>
      </c>
      <c r="H639" s="104">
        <f>SUM(F461)</f>
        <v>985342.34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985342.34</v>
      </c>
      <c r="H642" s="104">
        <f>SUM(I461)</f>
        <v>985342.34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8624.39</v>
      </c>
      <c r="H644" s="104">
        <f>H408</f>
        <v>8624.39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52222.91</v>
      </c>
      <c r="H645" s="104">
        <f>G408</f>
        <v>52222.91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60847.3</v>
      </c>
      <c r="H646" s="104">
        <f>L408</f>
        <v>60847.3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122392.85</v>
      </c>
      <c r="H647" s="104">
        <f>L208+L226+L244</f>
        <v>122392.84999999999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53596.95</v>
      </c>
      <c r="H648" s="104">
        <f>(J257+J338)-(J255+J336)</f>
        <v>53596.950000000004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122392.84999999999</v>
      </c>
      <c r="H649" s="104">
        <f>H598</f>
        <v>122392.85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27208.34</v>
      </c>
      <c r="H652" s="104">
        <f>K263+K345</f>
        <v>27208.34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52222.91</v>
      </c>
      <c r="H655" s="104">
        <f>K266+K347</f>
        <v>52222.91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4331721.2</v>
      </c>
      <c r="G660" s="19">
        <f>(L229+L309+L359)</f>
        <v>0</v>
      </c>
      <c r="H660" s="19">
        <f>(L247+L328+L360)</f>
        <v>2226841.33</v>
      </c>
      <c r="I660" s="19">
        <f>SUM(F660:H660)</f>
        <v>6558562.5300000003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67381.25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67381.25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122392.84999999999</v>
      </c>
      <c r="G662" s="19">
        <f>(L226+L306)-(J226+J306)</f>
        <v>0</v>
      </c>
      <c r="H662" s="19">
        <f>(L244+L325)-(J244+J325)</f>
        <v>0</v>
      </c>
      <c r="I662" s="19">
        <f>SUM(F662:H662)</f>
        <v>122392.84999999999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53596.95</v>
      </c>
      <c r="G663" s="199">
        <f>SUM(G575:G587)+SUM(I602:I604)+L612</f>
        <v>0</v>
      </c>
      <c r="H663" s="199">
        <f>SUM(H575:H587)+SUM(J602:J604)+L613</f>
        <v>2064051.79</v>
      </c>
      <c r="I663" s="19">
        <f>SUM(F663:H663)</f>
        <v>2117648.7400000002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4088350.1500000004</v>
      </c>
      <c r="G664" s="19">
        <f>G660-SUM(G661:G663)</f>
        <v>0</v>
      </c>
      <c r="H664" s="19">
        <f>H660-SUM(H661:H663)</f>
        <v>162789.54000000004</v>
      </c>
      <c r="I664" s="19">
        <f>I660-SUM(I661:I663)</f>
        <v>4251139.6899999995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184.97</v>
      </c>
      <c r="G665" s="248">
        <v>0</v>
      </c>
      <c r="H665" s="248"/>
      <c r="I665" s="19">
        <f>SUM(F665:H665)</f>
        <v>184.97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22102.77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22982.86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-162789.54</v>
      </c>
      <c r="I669" s="19">
        <f>SUM(F669:H669)</f>
        <v>-162789.54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22102.77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22102.77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2" sqref="B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Lyme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1348188.86</v>
      </c>
      <c r="C9" s="229">
        <f>'DOE25'!G197+'DOE25'!G215+'DOE25'!G233+'DOE25'!G276+'DOE25'!G295+'DOE25'!G314</f>
        <v>630927.78</v>
      </c>
    </row>
    <row r="10" spans="1:3" x14ac:dyDescent="0.2">
      <c r="A10" t="s">
        <v>773</v>
      </c>
      <c r="B10" s="240">
        <v>1301978.6399999999</v>
      </c>
      <c r="C10" s="240">
        <v>630480.82999999996</v>
      </c>
    </row>
    <row r="11" spans="1:3" x14ac:dyDescent="0.2">
      <c r="A11" t="s">
        <v>774</v>
      </c>
      <c r="B11" s="240">
        <v>15426.22</v>
      </c>
      <c r="C11" s="240">
        <v>446.95</v>
      </c>
    </row>
    <row r="12" spans="1:3" x14ac:dyDescent="0.2">
      <c r="A12" t="s">
        <v>775</v>
      </c>
      <c r="B12" s="240">
        <v>30784</v>
      </c>
      <c r="C12" s="240">
        <v>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1348188.8599999999</v>
      </c>
      <c r="C13" s="231">
        <f>SUM(C10:C12)</f>
        <v>630927.77999999991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563334.37</v>
      </c>
      <c r="C18" s="229">
        <f>'DOE25'!G198+'DOE25'!G216+'DOE25'!G234+'DOE25'!G277+'DOE25'!G296+'DOE25'!G315</f>
        <v>203761.78</v>
      </c>
    </row>
    <row r="19" spans="1:3" x14ac:dyDescent="0.2">
      <c r="A19" t="s">
        <v>773</v>
      </c>
      <c r="B19" s="240">
        <v>218434</v>
      </c>
      <c r="C19" s="240">
        <v>115250.62</v>
      </c>
    </row>
    <row r="20" spans="1:3" x14ac:dyDescent="0.2">
      <c r="A20" t="s">
        <v>774</v>
      </c>
      <c r="B20" s="240">
        <v>260037.33</v>
      </c>
      <c r="C20" s="240">
        <v>49518.64</v>
      </c>
    </row>
    <row r="21" spans="1:3" x14ac:dyDescent="0.2">
      <c r="A21" t="s">
        <v>775</v>
      </c>
      <c r="B21" s="240">
        <v>84863.039999999994</v>
      </c>
      <c r="C21" s="240">
        <v>38992.519999999997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563334.37</v>
      </c>
      <c r="C22" s="231">
        <f>SUM(C19:C21)</f>
        <v>203761.78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0" sqref="B2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Lyme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4973825.7300000004</v>
      </c>
      <c r="D5" s="20">
        <f>SUM('DOE25'!L197:L200)+SUM('DOE25'!L215:L218)+SUM('DOE25'!L233:L236)-F5-G5</f>
        <v>4943191.29</v>
      </c>
      <c r="E5" s="243"/>
      <c r="F5" s="255">
        <f>SUM('DOE25'!J197:J200)+SUM('DOE25'!J215:J218)+SUM('DOE25'!J233:J236)</f>
        <v>30634.440000000002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254105.55000000002</v>
      </c>
      <c r="D6" s="20">
        <f>'DOE25'!L202+'DOE25'!L220+'DOE25'!L238-F6-G6</f>
        <v>254105.55000000002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65492.049999999996</v>
      </c>
      <c r="D7" s="20">
        <f>'DOE25'!L203+'DOE25'!L221+'DOE25'!L239-F7-G7</f>
        <v>65492.049999999996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77001.309999999969</v>
      </c>
      <c r="D8" s="243"/>
      <c r="E8" s="20">
        <f>'DOE25'!L204+'DOE25'!L222+'DOE25'!L240-F8-G8-D9-D11</f>
        <v>72404.349999999962</v>
      </c>
      <c r="F8" s="255">
        <f>'DOE25'!J204+'DOE25'!J222+'DOE25'!J240</f>
        <v>1268</v>
      </c>
      <c r="G8" s="53">
        <f>'DOE25'!K204+'DOE25'!K222+'DOE25'!K240</f>
        <v>3328.96</v>
      </c>
      <c r="H8" s="259"/>
    </row>
    <row r="9" spans="1:9" x14ac:dyDescent="0.2">
      <c r="A9" s="32">
        <v>2310</v>
      </c>
      <c r="B9" t="s">
        <v>812</v>
      </c>
      <c r="C9" s="245">
        <f t="shared" si="0"/>
        <v>27733.98</v>
      </c>
      <c r="D9" s="244">
        <v>27733.98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8000</v>
      </c>
      <c r="D10" s="243"/>
      <c r="E10" s="244">
        <v>8000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94164.46</v>
      </c>
      <c r="D11" s="244">
        <v>94164.46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385656.43999999994</v>
      </c>
      <c r="D12" s="20">
        <f>'DOE25'!L205+'DOE25'!L223+'DOE25'!L241-F12-G12</f>
        <v>381974.32999999996</v>
      </c>
      <c r="E12" s="243"/>
      <c r="F12" s="255">
        <f>'DOE25'!J205+'DOE25'!J223+'DOE25'!J241</f>
        <v>3672</v>
      </c>
      <c r="G12" s="53">
        <f>'DOE25'!K205+'DOE25'!K223+'DOE25'!K241</f>
        <v>10.11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331862.5</v>
      </c>
      <c r="D14" s="20">
        <f>'DOE25'!L207+'DOE25'!L225+'DOE25'!L243-F14-G14</f>
        <v>316961.99</v>
      </c>
      <c r="E14" s="243"/>
      <c r="F14" s="255">
        <f>'DOE25'!J207+'DOE25'!J225+'DOE25'!J243</f>
        <v>14900.51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122392.84999999999</v>
      </c>
      <c r="D15" s="20">
        <f>'DOE25'!L208+'DOE25'!L226+'DOE25'!L244-F15-G15</f>
        <v>122392.84999999999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195130</v>
      </c>
      <c r="D25" s="243"/>
      <c r="E25" s="243"/>
      <c r="F25" s="258"/>
      <c r="G25" s="256"/>
      <c r="H25" s="257">
        <f>'DOE25'!L260+'DOE25'!L261+'DOE25'!L341+'DOE25'!L342</f>
        <v>195130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60222.639999999992</v>
      </c>
      <c r="D29" s="20">
        <f>'DOE25'!L358+'DOE25'!L359+'DOE25'!L360-'DOE25'!I367-F29-G29</f>
        <v>60222.639999999992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112721.29000000001</v>
      </c>
      <c r="D31" s="20">
        <f>'DOE25'!L290+'DOE25'!L309+'DOE25'!L328+'DOE25'!L333+'DOE25'!L334+'DOE25'!L335-F31-G31</f>
        <v>109599.29000000001</v>
      </c>
      <c r="E31" s="243"/>
      <c r="F31" s="255">
        <f>'DOE25'!J290+'DOE25'!J309+'DOE25'!J328+'DOE25'!J333+'DOE25'!J334+'DOE25'!J335</f>
        <v>3122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6375838.4299999997</v>
      </c>
      <c r="E33" s="246">
        <f>SUM(E5:E31)</f>
        <v>80404.349999999962</v>
      </c>
      <c r="F33" s="246">
        <f>SUM(F5:F31)</f>
        <v>53596.950000000004</v>
      </c>
      <c r="G33" s="246">
        <f>SUM(G5:G31)</f>
        <v>3339.07</v>
      </c>
      <c r="H33" s="246">
        <f>SUM(H5:H31)</f>
        <v>195130</v>
      </c>
    </row>
    <row r="35" spans="2:8" ht="12" thickBot="1" x14ac:dyDescent="0.25">
      <c r="B35" s="253" t="s">
        <v>841</v>
      </c>
      <c r="D35" s="254">
        <f>E33</f>
        <v>80404.349999999962</v>
      </c>
      <c r="E35" s="249"/>
    </row>
    <row r="36" spans="2:8" ht="12" thickTop="1" x14ac:dyDescent="0.2">
      <c r="B36" t="s">
        <v>809</v>
      </c>
      <c r="D36" s="20">
        <f>D33</f>
        <v>6375838.4299999997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44" activePane="bottomLeft" state="frozen"/>
      <selection activeCell="F46" sqref="F46"/>
      <selection pane="bottomLeft" activeCell="E24" sqref="E2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Lyme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255026.84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1061.8499999999999</v>
      </c>
      <c r="E12" s="95">
        <f>'DOE25'!H13</f>
        <v>38003.46</v>
      </c>
      <c r="F12" s="95">
        <f>'DOE25'!I13</f>
        <v>0</v>
      </c>
      <c r="G12" s="95">
        <f>'DOE25'!J13</f>
        <v>985342.34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38003.46</v>
      </c>
      <c r="D13" s="95">
        <f>'DOE25'!G14</f>
        <v>2259.25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2500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295530.3</v>
      </c>
      <c r="D18" s="41">
        <f>SUM(D8:D17)</f>
        <v>3321.1</v>
      </c>
      <c r="E18" s="41">
        <f>SUM(E8:E17)</f>
        <v>38003.46</v>
      </c>
      <c r="F18" s="41">
        <f>SUM(F8:F17)</f>
        <v>0</v>
      </c>
      <c r="G18" s="41">
        <f>SUM(G8:G17)</f>
        <v>985342.34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-938.75</v>
      </c>
      <c r="D21" s="95">
        <f>'DOE25'!G22</f>
        <v>938.75</v>
      </c>
      <c r="E21" s="95">
        <f>'DOE25'!H22</f>
        <v>38003.46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42111.8</v>
      </c>
      <c r="D23" s="95">
        <f>'DOE25'!G24</f>
        <v>2382.35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41173.050000000003</v>
      </c>
      <c r="D31" s="41">
        <f>SUM(D21:D30)</f>
        <v>3321.1</v>
      </c>
      <c r="E31" s="41">
        <f>SUM(E21:E30)</f>
        <v>38003.46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985342.34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15811.17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33770.22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84775.86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254357.25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985342.34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295530.3</v>
      </c>
      <c r="D51" s="41">
        <f>D50+D31</f>
        <v>3321.1</v>
      </c>
      <c r="E51" s="41">
        <f>E50+E31</f>
        <v>38003.46</v>
      </c>
      <c r="F51" s="41">
        <f>F50+F31</f>
        <v>0</v>
      </c>
      <c r="G51" s="41">
        <f>G50+G31</f>
        <v>985342.34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5497121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18862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745.24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8624.39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67381.25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29594.97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49202.210000000006</v>
      </c>
      <c r="D62" s="130">
        <f>SUM(D57:D61)</f>
        <v>67381.25</v>
      </c>
      <c r="E62" s="130">
        <f>SUM(E57:E61)</f>
        <v>0</v>
      </c>
      <c r="F62" s="130">
        <f>SUM(F57:F61)</f>
        <v>0</v>
      </c>
      <c r="G62" s="130">
        <f>SUM(G57:G61)</f>
        <v>8624.39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5546323.21</v>
      </c>
      <c r="D63" s="22">
        <f>D56+D62</f>
        <v>67381.25</v>
      </c>
      <c r="E63" s="22">
        <f>E56+E62</f>
        <v>0</v>
      </c>
      <c r="F63" s="22">
        <f>F56+F62</f>
        <v>0</v>
      </c>
      <c r="G63" s="22">
        <f>G56+G62</f>
        <v>8624.39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469636.65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754596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696.77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1224929.42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6693.35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1084.3599999999999</v>
      </c>
      <c r="E77" s="95">
        <f>SUM('DOE25'!H131:H135)</f>
        <v>31474.400000000001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6693.35</v>
      </c>
      <c r="D78" s="130">
        <f>SUM(D72:D77)</f>
        <v>1084.3599999999999</v>
      </c>
      <c r="E78" s="130">
        <f>SUM(E72:E77)</f>
        <v>31474.400000000001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1231622.77</v>
      </c>
      <c r="D81" s="130">
        <f>SUM(D79:D80)+D78+D70</f>
        <v>1084.3599999999999</v>
      </c>
      <c r="E81" s="130">
        <f>SUM(E79:E80)+E78+E70</f>
        <v>31474.400000000001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3403.99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8905.19</v>
      </c>
      <c r="D88" s="95">
        <f>SUM('DOE25'!G153:G161)</f>
        <v>14528.43</v>
      </c>
      <c r="E88" s="95">
        <f>SUM('DOE25'!H153:H161)</f>
        <v>81246.89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409.84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9315.0300000000007</v>
      </c>
      <c r="D91" s="131">
        <f>SUM(D85:D90)</f>
        <v>17932.419999999998</v>
      </c>
      <c r="E91" s="131">
        <f>SUM(E85:E90)</f>
        <v>81246.89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27208.34</v>
      </c>
      <c r="E96" s="95">
        <f>'DOE25'!H179</f>
        <v>0</v>
      </c>
      <c r="F96" s="95">
        <f>'DOE25'!I179</f>
        <v>0</v>
      </c>
      <c r="G96" s="95">
        <f>'DOE25'!J179</f>
        <v>52222.91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27208.34</v>
      </c>
      <c r="E103" s="86">
        <f>SUM(E93:E102)</f>
        <v>0</v>
      </c>
      <c r="F103" s="86">
        <f>SUM(F93:F102)</f>
        <v>0</v>
      </c>
      <c r="G103" s="86">
        <f>SUM(G93:G102)</f>
        <v>52222.91</v>
      </c>
    </row>
    <row r="104" spans="1:7" ht="12.75" thickTop="1" thickBot="1" x14ac:dyDescent="0.25">
      <c r="A104" s="33" t="s">
        <v>759</v>
      </c>
      <c r="C104" s="86">
        <f>C63+C81+C91+C103</f>
        <v>6787261.0100000007</v>
      </c>
      <c r="D104" s="86">
        <f>D63+D81+D91+D103</f>
        <v>113606.37</v>
      </c>
      <c r="E104" s="86">
        <f>E63+E81+E91+E103</f>
        <v>112721.29000000001</v>
      </c>
      <c r="F104" s="86">
        <f>F63+F81+F91+F103</f>
        <v>0</v>
      </c>
      <c r="G104" s="86">
        <f>G63+G81+G103</f>
        <v>60847.3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3863669.3900000006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1110156.3400000001</v>
      </c>
      <c r="D110" s="24" t="s">
        <v>286</v>
      </c>
      <c r="E110" s="95">
        <f>('DOE25'!L277)+('DOE25'!L296)+('DOE25'!L315)</f>
        <v>11762.89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4973825.7300000004</v>
      </c>
      <c r="D115" s="86">
        <f>SUM(D109:D114)</f>
        <v>0</v>
      </c>
      <c r="E115" s="86">
        <f>SUM(E109:E114)</f>
        <v>11762.89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254105.55000000002</v>
      </c>
      <c r="D118" s="24" t="s">
        <v>286</v>
      </c>
      <c r="E118" s="95">
        <f>+('DOE25'!L281)+('DOE25'!L300)+('DOE25'!L319)</f>
        <v>68084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65492.049999999996</v>
      </c>
      <c r="D119" s="24" t="s">
        <v>286</v>
      </c>
      <c r="E119" s="95">
        <f>+('DOE25'!L282)+('DOE25'!L301)+('DOE25'!L320)</f>
        <v>1400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198899.74999999997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385656.43999999994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331862.5</v>
      </c>
      <c r="D123" s="24" t="s">
        <v>286</v>
      </c>
      <c r="E123" s="95">
        <f>+('DOE25'!L286)+('DOE25'!L305)+('DOE25'!L324)</f>
        <v>31474.400000000001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122392.84999999999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113606.37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1358409.1400000001</v>
      </c>
      <c r="D128" s="86">
        <f>SUM(D118:D127)</f>
        <v>113606.37</v>
      </c>
      <c r="E128" s="86">
        <f>SUM(E118:E127)</f>
        <v>100958.39999999999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90000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105130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27208.34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60847.3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-8624.39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274561.25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6606796.120000001</v>
      </c>
      <c r="D145" s="86">
        <f>(D115+D128+D144)</f>
        <v>113606.37</v>
      </c>
      <c r="E145" s="86">
        <f>(E115+E128+E144)</f>
        <v>112721.29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07/14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08/34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2850000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3.3635000000000002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2475000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2475000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90000</v>
      </c>
    </row>
    <row r="159" spans="1:9" x14ac:dyDescent="0.2">
      <c r="A159" s="22" t="s">
        <v>35</v>
      </c>
      <c r="B159" s="137">
        <f>'DOE25'!F498</f>
        <v>2385000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2385000</v>
      </c>
    </row>
    <row r="160" spans="1:9" x14ac:dyDescent="0.2">
      <c r="A160" s="22" t="s">
        <v>36</v>
      </c>
      <c r="B160" s="137">
        <f>'DOE25'!F499</f>
        <v>936294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936294</v>
      </c>
    </row>
    <row r="161" spans="1:7" x14ac:dyDescent="0.2">
      <c r="A161" s="22" t="s">
        <v>37</v>
      </c>
      <c r="B161" s="137">
        <f>'DOE25'!F500</f>
        <v>3321294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3321294</v>
      </c>
    </row>
    <row r="162" spans="1:7" x14ac:dyDescent="0.2">
      <c r="A162" s="22" t="s">
        <v>38</v>
      </c>
      <c r="B162" s="137">
        <f>'DOE25'!F501</f>
        <v>95000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95000</v>
      </c>
    </row>
    <row r="163" spans="1:7" x14ac:dyDescent="0.2">
      <c r="A163" s="22" t="s">
        <v>39</v>
      </c>
      <c r="B163" s="137">
        <f>'DOE25'!F502</f>
        <v>100412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100412</v>
      </c>
    </row>
    <row r="164" spans="1:7" x14ac:dyDescent="0.2">
      <c r="A164" s="22" t="s">
        <v>246</v>
      </c>
      <c r="B164" s="137">
        <f>'DOE25'!F503</f>
        <v>195412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195412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Lyme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22103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22103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3863669</v>
      </c>
      <c r="D10" s="182">
        <f>ROUND((C10/$C$28)*100,1)</f>
        <v>58.6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1121919</v>
      </c>
      <c r="D11" s="182">
        <f>ROUND((C11/$C$28)*100,1)</f>
        <v>17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322190</v>
      </c>
      <c r="D15" s="182">
        <f t="shared" ref="D15:D27" si="0">ROUND((C15/$C$28)*100,1)</f>
        <v>4.9000000000000004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66892</v>
      </c>
      <c r="D16" s="182">
        <f t="shared" si="0"/>
        <v>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198900</v>
      </c>
      <c r="D17" s="182">
        <f t="shared" si="0"/>
        <v>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385656</v>
      </c>
      <c r="D18" s="182">
        <f t="shared" si="0"/>
        <v>5.8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363337</v>
      </c>
      <c r="D20" s="182">
        <f t="shared" si="0"/>
        <v>5.5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122393</v>
      </c>
      <c r="D21" s="182">
        <f t="shared" si="0"/>
        <v>1.9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105130</v>
      </c>
      <c r="D25" s="182">
        <f t="shared" si="0"/>
        <v>1.6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46224.75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6596310.75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6596310.75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90000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5497121</v>
      </c>
      <c r="D35" s="182">
        <f t="shared" ref="D35:D40" si="1">ROUND((C35/$C$41)*100,1)</f>
        <v>79.400000000000006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57826.599999999627</v>
      </c>
      <c r="D36" s="182">
        <f t="shared" si="1"/>
        <v>0.8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1224233</v>
      </c>
      <c r="D37" s="182">
        <f t="shared" si="1"/>
        <v>17.7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39949</v>
      </c>
      <c r="D38" s="182">
        <f t="shared" si="1"/>
        <v>0.6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108494</v>
      </c>
      <c r="D39" s="182">
        <f t="shared" si="1"/>
        <v>1.6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6927623.5999999996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Lyme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2018-10-05T15:45:25Z</cp:lastPrinted>
  <dcterms:created xsi:type="dcterms:W3CDTF">1997-12-04T19:04:30Z</dcterms:created>
  <dcterms:modified xsi:type="dcterms:W3CDTF">2018-11-30T15:22:55Z</dcterms:modified>
</cp:coreProperties>
</file>