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C122" i="2"/>
  <c r="L224" i="1"/>
  <c r="L242" i="1"/>
  <c r="F16" i="13"/>
  <c r="G16" i="13"/>
  <c r="L209" i="1"/>
  <c r="L227" i="1"/>
  <c r="L245" i="1"/>
  <c r="E16" i="13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/>
  <c r="L221" i="1"/>
  <c r="L239" i="1"/>
  <c r="F12" i="13"/>
  <c r="G12" i="13"/>
  <c r="L205" i="1"/>
  <c r="L223" i="1"/>
  <c r="L241" i="1"/>
  <c r="F14" i="13"/>
  <c r="G14" i="13"/>
  <c r="L207" i="1"/>
  <c r="C20" i="10"/>
  <c r="L225" i="1"/>
  <c r="L243" i="1"/>
  <c r="F15" i="13"/>
  <c r="G15" i="13"/>
  <c r="L208" i="1"/>
  <c r="L226" i="1"/>
  <c r="L244" i="1"/>
  <c r="H662" i="1"/>
  <c r="F17" i="13"/>
  <c r="G17" i="13"/>
  <c r="L251" i="1"/>
  <c r="F18" i="13"/>
  <c r="G18" i="13"/>
  <c r="L252" i="1"/>
  <c r="D18" i="13"/>
  <c r="C18" i="13"/>
  <c r="F19" i="13"/>
  <c r="G19" i="13"/>
  <c r="L253" i="1"/>
  <c r="D19" i="13"/>
  <c r="C19" i="13"/>
  <c r="F29" i="13"/>
  <c r="G29" i="13"/>
  <c r="L358" i="1"/>
  <c r="G661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/>
  <c r="L282" i="1"/>
  <c r="L283" i="1"/>
  <c r="L284" i="1"/>
  <c r="L285" i="1"/>
  <c r="L286" i="1"/>
  <c r="L287" i="1"/>
  <c r="E124" i="2"/>
  <c r="L288" i="1"/>
  <c r="L295" i="1"/>
  <c r="L309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C131" i="2"/>
  <c r="L261" i="1"/>
  <c r="C25" i="10"/>
  <c r="L341" i="1"/>
  <c r="L342" i="1"/>
  <c r="L255" i="1"/>
  <c r="L336" i="1"/>
  <c r="E130" i="2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/>
  <c r="C139" i="2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56" i="2"/>
  <c r="F79" i="1"/>
  <c r="C57" i="2"/>
  <c r="F94" i="1"/>
  <c r="F111" i="1"/>
  <c r="G111" i="1"/>
  <c r="G112" i="1"/>
  <c r="H79" i="1"/>
  <c r="E57" i="2"/>
  <c r="E62" i="2"/>
  <c r="E63" i="2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J140" i="1"/>
  <c r="F147" i="1"/>
  <c r="C85" i="2"/>
  <c r="F162" i="1"/>
  <c r="G147" i="1"/>
  <c r="G162" i="1"/>
  <c r="H147" i="1"/>
  <c r="H162" i="1"/>
  <c r="I147" i="1"/>
  <c r="I162" i="1"/>
  <c r="I169" i="1"/>
  <c r="C11" i="10"/>
  <c r="L250" i="1"/>
  <c r="L332" i="1"/>
  <c r="L254" i="1"/>
  <c r="L268" i="1"/>
  <c r="L269" i="1"/>
  <c r="C143" i="2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K550" i="1"/>
  <c r="L523" i="1"/>
  <c r="L526" i="1"/>
  <c r="L527" i="1"/>
  <c r="G550" i="1"/>
  <c r="L528" i="1"/>
  <c r="G551" i="1"/>
  <c r="L531" i="1"/>
  <c r="H549" i="1"/>
  <c r="H552" i="1"/>
  <c r="L532" i="1"/>
  <c r="H550" i="1"/>
  <c r="L533" i="1"/>
  <c r="H551" i="1"/>
  <c r="L536" i="1"/>
  <c r="I549" i="1"/>
  <c r="I552" i="1"/>
  <c r="L537" i="1"/>
  <c r="I550" i="1"/>
  <c r="L538" i="1"/>
  <c r="I551" i="1"/>
  <c r="L541" i="1"/>
  <c r="J549" i="1"/>
  <c r="L542" i="1"/>
  <c r="J550" i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D56" i="2"/>
  <c r="E56" i="2"/>
  <c r="C58" i="2"/>
  <c r="E58" i="2"/>
  <c r="C59" i="2"/>
  <c r="D59" i="2"/>
  <c r="E59" i="2"/>
  <c r="F59" i="2"/>
  <c r="D60" i="2"/>
  <c r="D62" i="2"/>
  <c r="D63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E113" i="2"/>
  <c r="D115" i="2"/>
  <c r="F115" i="2"/>
  <c r="G115" i="2"/>
  <c r="E119" i="2"/>
  <c r="E120" i="2"/>
  <c r="E122" i="2"/>
  <c r="E123" i="2"/>
  <c r="C125" i="2"/>
  <c r="F128" i="2"/>
  <c r="G128" i="2"/>
  <c r="F130" i="2"/>
  <c r="F144" i="2" s="1"/>
  <c r="F145" i="2" s="1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620" i="1"/>
  <c r="F32" i="1"/>
  <c r="F52" i="1"/>
  <c r="G32" i="1"/>
  <c r="H32" i="1"/>
  <c r="I32" i="1"/>
  <c r="H617" i="1"/>
  <c r="G52" i="1"/>
  <c r="H618" i="1"/>
  <c r="H51" i="1"/>
  <c r="H52" i="1"/>
  <c r="H619" i="1"/>
  <c r="I51" i="1"/>
  <c r="F177" i="1"/>
  <c r="I177" i="1"/>
  <c r="F183" i="1"/>
  <c r="G183" i="1"/>
  <c r="G192" i="1"/>
  <c r="H183" i="1"/>
  <c r="I183" i="1"/>
  <c r="J183" i="1"/>
  <c r="J192" i="1"/>
  <c r="F188" i="1"/>
  <c r="F192" i="1"/>
  <c r="G188" i="1"/>
  <c r="H188" i="1"/>
  <c r="I188" i="1"/>
  <c r="F211" i="1"/>
  <c r="G211" i="1"/>
  <c r="H211" i="1"/>
  <c r="I211" i="1"/>
  <c r="J211" i="1"/>
  <c r="K211" i="1"/>
  <c r="F229" i="1"/>
  <c r="G229" i="1"/>
  <c r="G257" i="1"/>
  <c r="G271" i="1"/>
  <c r="H229" i="1"/>
  <c r="I229" i="1"/>
  <c r="J229" i="1"/>
  <c r="K229" i="1"/>
  <c r="F247" i="1"/>
  <c r="G247" i="1"/>
  <c r="H247" i="1"/>
  <c r="I247" i="1"/>
  <c r="J247" i="1"/>
  <c r="K247" i="1"/>
  <c r="F256" i="1"/>
  <c r="L256" i="1"/>
  <c r="G256" i="1"/>
  <c r="H256" i="1"/>
  <c r="I256" i="1"/>
  <c r="J256" i="1"/>
  <c r="K256" i="1"/>
  <c r="F257" i="1"/>
  <c r="F271" i="1"/>
  <c r="F290" i="1"/>
  <c r="F338" i="1"/>
  <c r="F352" i="1"/>
  <c r="G290" i="1"/>
  <c r="G338" i="1"/>
  <c r="G352" i="1"/>
  <c r="H290" i="1"/>
  <c r="H338" i="1"/>
  <c r="H352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K352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H634" i="1"/>
  <c r="L381" i="1"/>
  <c r="L382" i="1"/>
  <c r="G636" i="1"/>
  <c r="F382" i="1"/>
  <c r="G382" i="1"/>
  <c r="H382" i="1"/>
  <c r="I382" i="1"/>
  <c r="J382" i="1"/>
  <c r="K382" i="1"/>
  <c r="F393" i="1"/>
  <c r="G393" i="1"/>
  <c r="G408" i="1"/>
  <c r="H645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/>
  <c r="F433" i="1"/>
  <c r="G433" i="1"/>
  <c r="H433" i="1"/>
  <c r="I433" i="1"/>
  <c r="J433" i="1"/>
  <c r="F446" i="1"/>
  <c r="G446" i="1"/>
  <c r="G640" i="1"/>
  <c r="H446" i="1"/>
  <c r="F452" i="1"/>
  <c r="G452" i="1"/>
  <c r="H452" i="1"/>
  <c r="F460" i="1"/>
  <c r="G460" i="1"/>
  <c r="G461" i="1"/>
  <c r="H640" i="1"/>
  <c r="H460" i="1"/>
  <c r="F461" i="1"/>
  <c r="H461" i="1"/>
  <c r="H641" i="1"/>
  <c r="F470" i="1"/>
  <c r="G470" i="1"/>
  <c r="H470" i="1"/>
  <c r="I470" i="1"/>
  <c r="J470" i="1"/>
  <c r="F474" i="1"/>
  <c r="G474" i="1"/>
  <c r="H474" i="1"/>
  <c r="I474" i="1"/>
  <c r="J474" i="1"/>
  <c r="J476" i="1"/>
  <c r="H626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C26" i="10"/>
  <c r="L328" i="1"/>
  <c r="C91" i="2"/>
  <c r="D50" i="2"/>
  <c r="G161" i="2"/>
  <c r="G156" i="2"/>
  <c r="D91" i="2"/>
  <c r="G62" i="2"/>
  <c r="E78" i="2"/>
  <c r="E81" i="2"/>
  <c r="J639" i="1"/>
  <c r="J571" i="1"/>
  <c r="J644" i="1"/>
  <c r="G476" i="1"/>
  <c r="H623" i="1"/>
  <c r="J623" i="1"/>
  <c r="F571" i="1"/>
  <c r="G22" i="2"/>
  <c r="H140" i="1"/>
  <c r="F22" i="13"/>
  <c r="C22" i="13"/>
  <c r="H571" i="1"/>
  <c r="H192" i="1"/>
  <c r="L570" i="1"/>
  <c r="I571" i="1"/>
  <c r="L565" i="1"/>
  <c r="F476" i="1"/>
  <c r="H622" i="1"/>
  <c r="J622" i="1"/>
  <c r="L419" i="1"/>
  <c r="L434" i="1"/>
  <c r="G638" i="1"/>
  <c r="J638" i="1"/>
  <c r="J640" i="1"/>
  <c r="H545" i="1"/>
  <c r="J545" i="1"/>
  <c r="I545" i="1"/>
  <c r="L534" i="1"/>
  <c r="G545" i="1"/>
  <c r="J645" i="1"/>
  <c r="I476" i="1"/>
  <c r="H625" i="1"/>
  <c r="J625" i="1"/>
  <c r="J636" i="1"/>
  <c r="H476" i="1"/>
  <c r="H624" i="1"/>
  <c r="J624" i="1"/>
  <c r="J634" i="1"/>
  <c r="D29" i="13"/>
  <c r="C29" i="13"/>
  <c r="L362" i="1"/>
  <c r="C27" i="10"/>
  <c r="H661" i="1"/>
  <c r="L290" i="1"/>
  <c r="E109" i="2"/>
  <c r="J257" i="1"/>
  <c r="J271" i="1"/>
  <c r="G651" i="1"/>
  <c r="J651" i="1"/>
  <c r="I257" i="1"/>
  <c r="C110" i="2"/>
  <c r="C121" i="2"/>
  <c r="E8" i="13"/>
  <c r="C8" i="13"/>
  <c r="D7" i="13"/>
  <c r="C7" i="13"/>
  <c r="A40" i="12"/>
  <c r="A31" i="12"/>
  <c r="H257" i="1"/>
  <c r="H271" i="1"/>
  <c r="D5" i="13"/>
  <c r="C5" i="13"/>
  <c r="A13" i="12"/>
  <c r="D31" i="2"/>
  <c r="D18" i="2"/>
  <c r="H169" i="1"/>
  <c r="H193" i="1"/>
  <c r="G629" i="1"/>
  <c r="J629" i="1"/>
  <c r="E31" i="2"/>
  <c r="J617" i="1"/>
  <c r="C16" i="13"/>
  <c r="J641" i="1"/>
  <c r="F18" i="2"/>
  <c r="C35" i="10"/>
  <c r="C56" i="2"/>
  <c r="C21" i="10"/>
  <c r="H647" i="1"/>
  <c r="F662" i="1"/>
  <c r="I662" i="1"/>
  <c r="C124" i="2"/>
  <c r="G649" i="1"/>
  <c r="J649" i="1"/>
  <c r="D15" i="13"/>
  <c r="C15" i="13"/>
  <c r="C118" i="2"/>
  <c r="D6" i="13"/>
  <c r="C6" i="13"/>
  <c r="C12" i="10"/>
  <c r="C111" i="2"/>
  <c r="F112" i="1"/>
  <c r="D12" i="13"/>
  <c r="C12" i="13"/>
  <c r="L427" i="1"/>
  <c r="C114" i="2"/>
  <c r="F661" i="1"/>
  <c r="I661" i="1"/>
  <c r="C19" i="10"/>
  <c r="C10" i="10"/>
  <c r="L393" i="1"/>
  <c r="C138" i="2"/>
  <c r="C130" i="2"/>
  <c r="C29" i="10"/>
  <c r="E125" i="2"/>
  <c r="E121" i="2"/>
  <c r="E128" i="2"/>
  <c r="E112" i="2"/>
  <c r="C13" i="10"/>
  <c r="D127" i="2"/>
  <c r="D128" i="2"/>
  <c r="D145" i="2"/>
  <c r="D17" i="13"/>
  <c r="C17" i="13"/>
  <c r="D14" i="13"/>
  <c r="C14" i="13"/>
  <c r="C18" i="10"/>
  <c r="L247" i="1"/>
  <c r="H660" i="1"/>
  <c r="C120" i="2"/>
  <c r="J655" i="1"/>
  <c r="F169" i="1"/>
  <c r="H112" i="1"/>
  <c r="E13" i="13"/>
  <c r="C13" i="13"/>
  <c r="J643" i="1"/>
  <c r="I52" i="1"/>
  <c r="H620" i="1"/>
  <c r="G625" i="1"/>
  <c r="G164" i="2"/>
  <c r="C78" i="2"/>
  <c r="C132" i="2"/>
  <c r="G549" i="1"/>
  <c r="L529" i="1"/>
  <c r="L211" i="1"/>
  <c r="C16" i="10"/>
  <c r="L351" i="1"/>
  <c r="L229" i="1"/>
  <c r="C17" i="10"/>
  <c r="H25" i="13"/>
  <c r="I271" i="1"/>
  <c r="K598" i="1"/>
  <c r="G647" i="1"/>
  <c r="J647" i="1"/>
  <c r="K571" i="1"/>
  <c r="L560" i="1"/>
  <c r="K500" i="1"/>
  <c r="I460" i="1"/>
  <c r="I452" i="1"/>
  <c r="I446" i="1"/>
  <c r="G642" i="1"/>
  <c r="K257" i="1"/>
  <c r="K271" i="1"/>
  <c r="C123" i="2"/>
  <c r="F81" i="2"/>
  <c r="C70" i="2"/>
  <c r="C62" i="2"/>
  <c r="C63" i="2"/>
  <c r="C18" i="2"/>
  <c r="L270" i="1"/>
  <c r="J551" i="1"/>
  <c r="J552" i="1"/>
  <c r="L544" i="1"/>
  <c r="F551" i="1"/>
  <c r="L524" i="1"/>
  <c r="C32" i="10"/>
  <c r="C15" i="10"/>
  <c r="J338" i="1"/>
  <c r="J352" i="1"/>
  <c r="L614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L338" i="1"/>
  <c r="L352" i="1"/>
  <c r="G633" i="1"/>
  <c r="J633" i="1"/>
  <c r="C24" i="10"/>
  <c r="G660" i="1"/>
  <c r="G664" i="1"/>
  <c r="G667" i="1"/>
  <c r="G31" i="13"/>
  <c r="G33" i="13"/>
  <c r="I338" i="1"/>
  <c r="I352" i="1"/>
  <c r="J650" i="1"/>
  <c r="L407" i="1"/>
  <c r="C140" i="2"/>
  <c r="L571" i="1"/>
  <c r="I192" i="1"/>
  <c r="E91" i="2"/>
  <c r="E104" i="2"/>
  <c r="D51" i="2"/>
  <c r="J654" i="1"/>
  <c r="J653" i="1"/>
  <c r="G21" i="2"/>
  <c r="G31" i="2"/>
  <c r="J32" i="1"/>
  <c r="J434" i="1"/>
  <c r="F434" i="1"/>
  <c r="K434" i="1"/>
  <c r="G134" i="2"/>
  <c r="G144" i="2"/>
  <c r="G145" i="2"/>
  <c r="F31" i="13"/>
  <c r="F33" i="13"/>
  <c r="J193" i="1"/>
  <c r="G646" i="1"/>
  <c r="G169" i="1"/>
  <c r="G140" i="1"/>
  <c r="F140" i="1"/>
  <c r="G63" i="2"/>
  <c r="G104" i="2"/>
  <c r="J618" i="1"/>
  <c r="G42" i="2"/>
  <c r="G50" i="2"/>
  <c r="G51" i="2"/>
  <c r="J51" i="1"/>
  <c r="G16" i="2"/>
  <c r="J19" i="1"/>
  <c r="G621" i="1"/>
  <c r="G18" i="2"/>
  <c r="F545" i="1"/>
  <c r="H434" i="1"/>
  <c r="J620" i="1"/>
  <c r="J619" i="1"/>
  <c r="D103" i="2"/>
  <c r="D104" i="2"/>
  <c r="I140" i="1"/>
  <c r="I193" i="1"/>
  <c r="G630" i="1"/>
  <c r="J630" i="1"/>
  <c r="A22" i="12"/>
  <c r="J652" i="1"/>
  <c r="G571" i="1"/>
  <c r="I434" i="1"/>
  <c r="G434" i="1"/>
  <c r="I663" i="1"/>
  <c r="C141" i="2"/>
  <c r="C144" i="2"/>
  <c r="F104" i="2"/>
  <c r="G635" i="1"/>
  <c r="J635" i="1"/>
  <c r="H664" i="1"/>
  <c r="H672" i="1"/>
  <c r="C6" i="10"/>
  <c r="D31" i="13"/>
  <c r="C31" i="13"/>
  <c r="E115" i="2"/>
  <c r="E145" i="2"/>
  <c r="C115" i="2"/>
  <c r="L257" i="1"/>
  <c r="L271" i="1"/>
  <c r="G632" i="1"/>
  <c r="J632" i="1"/>
  <c r="C28" i="10"/>
  <c r="D24" i="10"/>
  <c r="C39" i="10"/>
  <c r="C81" i="2"/>
  <c r="C104" i="2"/>
  <c r="C36" i="10"/>
  <c r="C128" i="2"/>
  <c r="C145" i="2"/>
  <c r="F660" i="1"/>
  <c r="G672" i="1"/>
  <c r="C5" i="10"/>
  <c r="K549" i="1"/>
  <c r="G552" i="1"/>
  <c r="F552" i="1"/>
  <c r="K551" i="1"/>
  <c r="H648" i="1"/>
  <c r="J648" i="1"/>
  <c r="F193" i="1"/>
  <c r="G627" i="1"/>
  <c r="J627" i="1"/>
  <c r="L408" i="1"/>
  <c r="L545" i="1"/>
  <c r="I461" i="1"/>
  <c r="H642" i="1"/>
  <c r="J642" i="1"/>
  <c r="C25" i="13"/>
  <c r="H33" i="13"/>
  <c r="E33" i="13"/>
  <c r="D35" i="13"/>
  <c r="C51" i="2"/>
  <c r="G631" i="1"/>
  <c r="J631" i="1"/>
  <c r="G193" i="1"/>
  <c r="G628" i="1"/>
  <c r="J628" i="1"/>
  <c r="G626" i="1"/>
  <c r="J626" i="1"/>
  <c r="J52" i="1"/>
  <c r="H621" i="1"/>
  <c r="J621" i="1"/>
  <c r="C38" i="10"/>
  <c r="H667" i="1"/>
  <c r="K552" i="1"/>
  <c r="D33" i="13"/>
  <c r="D36" i="13"/>
  <c r="D15" i="10"/>
  <c r="C30" i="10"/>
  <c r="D19" i="10"/>
  <c r="D20" i="10"/>
  <c r="D23" i="10"/>
  <c r="D10" i="10"/>
  <c r="D25" i="10"/>
  <c r="D26" i="10"/>
  <c r="D16" i="10"/>
  <c r="D21" i="10"/>
  <c r="D13" i="10"/>
  <c r="D11" i="10"/>
  <c r="D22" i="10"/>
  <c r="D27" i="10"/>
  <c r="D18" i="10"/>
  <c r="D17" i="10"/>
  <c r="D12" i="10"/>
  <c r="F664" i="1"/>
  <c r="I660" i="1"/>
  <c r="I664" i="1"/>
  <c r="I672" i="1"/>
  <c r="C7" i="10" s="1"/>
  <c r="G637" i="1"/>
  <c r="J637" i="1"/>
  <c r="H646" i="1"/>
  <c r="J646" i="1"/>
  <c r="C41" i="10"/>
  <c r="D38" i="10"/>
  <c r="D28" i="10"/>
  <c r="I667" i="1"/>
  <c r="F672" i="1"/>
  <c r="C4" i="10"/>
  <c r="F667" i="1"/>
  <c r="H656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<sst xmlns="http://schemas.openxmlformats.org/spreadsheetml/2006/main" count="3957" uniqueCount="913">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</sst>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quotePrefix="1" applyNumberFormat="1" applyFont="1" applyProtection="1">
      <protection locked="0"/>
    </xf>
    <xf numFmtId="0" fontId="0" fillId="0" borderId="0" xfId="0" quotePrefix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5" t="s">
        <v>912</v>
      </c>
      <c r="B2" s="21">
        <v>333</v>
      </c>
      <c r="C2" s="21">
        <v>333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278</v>
      </c>
      <c r="G6" s="224" t="s">
        <v>279</v>
      </c>
      <c r="H6" s="224" t="s">
        <v>280</v>
      </c>
      <c r="I6" s="224" t="s">
        <v>281</v>
      </c>
      <c r="J6" s="224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4"/>
      <c r="G7" s="225"/>
      <c r="H7" s="224" t="s">
        <v>766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36691.279999999999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1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56519.35</v>
      </c>
      <c r="K10" s="24" t="s">
        <v>286</v>
      </c>
      <c r="L10" s="24" t="s">
        <v>286</v>
      </c>
      <c r="M10" s="8"/>
      <c r="N10" s="271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92410.53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1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-16259.72</v>
      </c>
      <c r="G12" s="18">
        <v>-9198.8799999999992</v>
      </c>
      <c r="H12" s="18">
        <v>25458.6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1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29949.119999999999</v>
      </c>
      <c r="G13" s="18">
        <v>10149.82</v>
      </c>
      <c r="H13" s="18">
        <v>12729.73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1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16334.71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1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1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1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1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1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159125.91999999998</v>
      </c>
      <c r="G19" s="41">
        <f>SUM(G9:G18)</f>
        <v>950.94000000000051</v>
      </c>
      <c r="H19" s="41">
        <f>SUM(H9:H18)</f>
        <v>38188.33</v>
      </c>
      <c r="I19" s="41">
        <f>SUM(I9:I18)</f>
        <v>0</v>
      </c>
      <c r="J19" s="41">
        <f>SUM(J9:J18)</f>
        <v>56519.35</v>
      </c>
      <c r="K19" s="45" t="s">
        <v>286</v>
      </c>
      <c r="L19" s="45" t="s">
        <v>286</v>
      </c>
      <c r="M19" s="8"/>
      <c r="N19" s="271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1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1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313.55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1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159125.92000000001</v>
      </c>
      <c r="G24" s="18">
        <v>950.94</v>
      </c>
      <c r="H24" s="18">
        <v>197.87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1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1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1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1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1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1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37676.910000000003</v>
      </c>
      <c r="I30" s="18"/>
      <c r="J30" s="24" t="s">
        <v>286</v>
      </c>
      <c r="K30" s="24" t="s">
        <v>286</v>
      </c>
      <c r="L30" s="24" t="s">
        <v>286</v>
      </c>
      <c r="M30" s="8"/>
      <c r="N30" s="271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1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159125.92000000001</v>
      </c>
      <c r="G32" s="41">
        <f>SUM(G22:G31)</f>
        <v>950.94</v>
      </c>
      <c r="H32" s="41">
        <f>SUM(H22:H31)</f>
        <v>38188.33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1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1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1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1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1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1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1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1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1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1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1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1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1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1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1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1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56519.35</v>
      </c>
      <c r="K48" s="24" t="s">
        <v>286</v>
      </c>
      <c r="L48" s="24" t="s">
        <v>286</v>
      </c>
      <c r="M48" s="8"/>
      <c r="N48" s="271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1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56519.35</v>
      </c>
      <c r="K51" s="45" t="s">
        <v>286</v>
      </c>
      <c r="L51" s="45" t="s">
        <v>286</v>
      </c>
      <c r="N51" s="269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159125.92000000001</v>
      </c>
      <c r="G52" s="41">
        <f>G51+G32</f>
        <v>950.94</v>
      </c>
      <c r="H52" s="41">
        <f>H51+H32</f>
        <v>38188.33</v>
      </c>
      <c r="I52" s="41">
        <f>I51+I32</f>
        <v>0</v>
      </c>
      <c r="J52" s="41">
        <f>J51+J32</f>
        <v>56519.35</v>
      </c>
      <c r="K52" s="45" t="s">
        <v>286</v>
      </c>
      <c r="L52" s="45" t="s">
        <v>286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1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1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1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4550312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1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92410.53</v>
      </c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1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2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4642722.53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2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1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1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1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1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2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1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1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1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1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1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1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1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1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1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1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1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1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69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1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1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1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1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1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1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1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1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1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1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1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1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1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1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1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31.81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1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23083.59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1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1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1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1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1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1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1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1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1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1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1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1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1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31332.43</v>
      </c>
      <c r="G110" s="18">
        <v>38062.400000000001</v>
      </c>
      <c r="H110" s="18"/>
      <c r="I110" s="18"/>
      <c r="J110" s="18"/>
      <c r="K110" s="24" t="s">
        <v>286</v>
      </c>
      <c r="L110" s="24" t="s">
        <v>286</v>
      </c>
      <c r="M110" s="8"/>
      <c r="N110" s="271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31364.240000000002</v>
      </c>
      <c r="G111" s="41">
        <f>SUM(G96:G110)</f>
        <v>61145.990000000005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69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4674086.7700000005</v>
      </c>
      <c r="G112" s="41">
        <f>G60+G111</f>
        <v>61145.990000000005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1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547191.42000000004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1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1038479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1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1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1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1587063.96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1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1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1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1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138984.95999999999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1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1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1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1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1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1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10372.370000000001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1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1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144245.29999999999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1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283230.26</v>
      </c>
      <c r="G136" s="41">
        <f>SUM(G123:G135)</f>
        <v>10372.370000000001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1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1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1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1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1870294.22</v>
      </c>
      <c r="G140" s="41">
        <f>G121+SUM(G136:G137)</f>
        <v>10372.370000000001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3" t="s">
        <v>766</v>
      </c>
      <c r="I143" s="16" t="s">
        <v>281</v>
      </c>
      <c r="J143" s="16" t="s">
        <v>282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1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1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1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1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1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1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1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1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1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1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52167.21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1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26331.27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1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1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1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41986.12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1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1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73372.92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1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4879.59</v>
      </c>
      <c r="H161" s="18">
        <v>45542.06</v>
      </c>
      <c r="I161" s="18"/>
      <c r="J161" s="24" t="s">
        <v>286</v>
      </c>
      <c r="K161" s="24" t="s">
        <v>286</v>
      </c>
      <c r="L161" s="24" t="s">
        <v>286</v>
      </c>
      <c r="M161" s="8"/>
      <c r="N161" s="271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73372.92</v>
      </c>
      <c r="G162" s="41">
        <f>SUM(G150:G161)</f>
        <v>46865.710000000006</v>
      </c>
      <c r="H162" s="41">
        <f>SUM(H150:H161)</f>
        <v>124040.54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1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1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1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1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1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1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1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73372.92</v>
      </c>
      <c r="G169" s="41">
        <f>G147+G162+SUM(G163:G168)</f>
        <v>46865.710000000006</v>
      </c>
      <c r="H169" s="41">
        <f>H147+H162+SUM(H163:H168)</f>
        <v>124040.54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3" t="s">
        <v>766</v>
      </c>
      <c r="I172" s="16" t="s">
        <v>281</v>
      </c>
      <c r="J172" s="16" t="s">
        <v>282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1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1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1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1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1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1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28220.02</v>
      </c>
      <c r="H179" s="18"/>
      <c r="I179" s="18"/>
      <c r="J179" s="18">
        <v>92680</v>
      </c>
      <c r="K179" s="24" t="s">
        <v>286</v>
      </c>
      <c r="L179" s="24" t="s">
        <v>286</v>
      </c>
      <c r="M179" s="8"/>
      <c r="N179" s="271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1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1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1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28220.02</v>
      </c>
      <c r="H183" s="41">
        <f>SUM(H179:H182)</f>
        <v>0</v>
      </c>
      <c r="I183" s="41">
        <f>SUM(I179:I182)</f>
        <v>0</v>
      </c>
      <c r="J183" s="41">
        <f>SUM(J179:J182)</f>
        <v>92680</v>
      </c>
      <c r="K183" s="45" t="s">
        <v>286</v>
      </c>
      <c r="L183" s="45" t="s">
        <v>286</v>
      </c>
      <c r="M183" s="8"/>
      <c r="N183" s="271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1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1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215108.65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1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69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215108.65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9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1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1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1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215108.65</v>
      </c>
      <c r="G192" s="41">
        <f>G183+SUM(G188:G191)</f>
        <v>28220.02</v>
      </c>
      <c r="H192" s="41">
        <f>+H183+SUM(H188:H191)</f>
        <v>0</v>
      </c>
      <c r="I192" s="41">
        <f>I177+I183+SUM(I188:I191)</f>
        <v>0</v>
      </c>
      <c r="J192" s="41">
        <f>J183</f>
        <v>92680</v>
      </c>
      <c r="K192" s="45" t="s">
        <v>286</v>
      </c>
      <c r="L192" s="45" t="s">
        <v>286</v>
      </c>
      <c r="M192" s="8"/>
      <c r="N192" s="271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6832862.5600000005</v>
      </c>
      <c r="G193" s="47">
        <f>G112+G140+G169+G192</f>
        <v>146604.09</v>
      </c>
      <c r="H193" s="47">
        <f>H112+H140+H169+H192</f>
        <v>124040.54</v>
      </c>
      <c r="I193" s="47">
        <f>I112+I140+I169+I192</f>
        <v>0</v>
      </c>
      <c r="J193" s="47">
        <f>J112+J140+J192</f>
        <v>92680</v>
      </c>
      <c r="K193" s="45" t="s">
        <v>286</v>
      </c>
      <c r="L193" s="45" t="s">
        <v>286</v>
      </c>
      <c r="M193" s="8"/>
      <c r="N193" s="271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6" t="s">
        <v>687</v>
      </c>
      <c r="G194" s="176" t="s">
        <v>688</v>
      </c>
      <c r="H194" s="176" t="s">
        <v>689</v>
      </c>
      <c r="I194" s="176" t="s">
        <v>690</v>
      </c>
      <c r="J194" s="176" t="s">
        <v>691</v>
      </c>
      <c r="K194" s="176" t="s">
        <v>692</v>
      </c>
      <c r="L194" s="56"/>
      <c r="M194" s="8"/>
      <c r="N194" s="271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1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918795.11</v>
      </c>
      <c r="G197" s="18">
        <v>411309.53</v>
      </c>
      <c r="H197" s="18">
        <v>31082.71</v>
      </c>
      <c r="I197" s="18">
        <v>27475.24</v>
      </c>
      <c r="J197" s="18">
        <v>17647.64</v>
      </c>
      <c r="K197" s="18">
        <v>140</v>
      </c>
      <c r="L197" s="19">
        <f>SUM(F197:K197)</f>
        <v>1406450.23</v>
      </c>
      <c r="M197" s="8"/>
      <c r="N197" s="271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210996.04</v>
      </c>
      <c r="G198" s="18">
        <v>94727.93</v>
      </c>
      <c r="H198" s="18">
        <v>161679.12</v>
      </c>
      <c r="I198" s="18">
        <v>1754.96</v>
      </c>
      <c r="J198" s="18"/>
      <c r="K198" s="18"/>
      <c r="L198" s="19">
        <f>SUM(F198:K198)</f>
        <v>469158.05</v>
      </c>
      <c r="M198" s="8"/>
      <c r="N198" s="271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49585.29</v>
      </c>
      <c r="G200" s="18">
        <v>4983.8599999999997</v>
      </c>
      <c r="H200" s="18">
        <v>400</v>
      </c>
      <c r="I200" s="18">
        <v>708.53</v>
      </c>
      <c r="J200" s="18"/>
      <c r="K200" s="18"/>
      <c r="L200" s="19">
        <f>SUM(F200:K200)</f>
        <v>55677.68</v>
      </c>
      <c r="M200" s="8"/>
      <c r="N200" s="271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1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166477.57999999999</v>
      </c>
      <c r="G202" s="18">
        <v>91018.34</v>
      </c>
      <c r="H202" s="18">
        <v>40621.760000000002</v>
      </c>
      <c r="I202" s="18">
        <v>674.07</v>
      </c>
      <c r="J202" s="18"/>
      <c r="K202" s="18">
        <v>539</v>
      </c>
      <c r="L202" s="19">
        <f t="shared" ref="L202:L208" si="0">SUM(F202:K202)</f>
        <v>299330.75</v>
      </c>
      <c r="M202" s="8"/>
      <c r="N202" s="271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58024</v>
      </c>
      <c r="G203" s="18">
        <v>34434.32</v>
      </c>
      <c r="H203" s="18">
        <v>8145.48</v>
      </c>
      <c r="I203" s="18">
        <v>4616.96</v>
      </c>
      <c r="J203" s="18"/>
      <c r="K203" s="18"/>
      <c r="L203" s="19">
        <f t="shared" si="0"/>
        <v>105220.76000000001</v>
      </c>
      <c r="M203" s="8"/>
      <c r="N203" s="271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7650</v>
      </c>
      <c r="G204" s="18">
        <v>585.23</v>
      </c>
      <c r="H204" s="18">
        <v>262800.34999999998</v>
      </c>
      <c r="I204" s="18">
        <v>1298.82</v>
      </c>
      <c r="J204" s="18"/>
      <c r="K204" s="18">
        <v>3071.19</v>
      </c>
      <c r="L204" s="19">
        <f t="shared" si="0"/>
        <v>275405.58999999997</v>
      </c>
      <c r="M204" s="8"/>
      <c r="N204" s="271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129396.9</v>
      </c>
      <c r="G205" s="18">
        <v>64368.05</v>
      </c>
      <c r="H205" s="18">
        <v>1113.1500000000001</v>
      </c>
      <c r="I205" s="18">
        <v>3960.52</v>
      </c>
      <c r="J205" s="18">
        <v>94.43</v>
      </c>
      <c r="K205" s="18">
        <v>100</v>
      </c>
      <c r="L205" s="19">
        <f t="shared" si="0"/>
        <v>199033.05</v>
      </c>
      <c r="M205" s="8"/>
      <c r="N205" s="271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84317.51</v>
      </c>
      <c r="G207" s="18">
        <v>49731.24</v>
      </c>
      <c r="H207" s="18">
        <v>453554.39</v>
      </c>
      <c r="I207" s="18">
        <v>76204.37</v>
      </c>
      <c r="J207" s="18">
        <v>5907.07</v>
      </c>
      <c r="K207" s="18"/>
      <c r="L207" s="19">
        <f t="shared" si="0"/>
        <v>669714.57999999996</v>
      </c>
      <c r="M207" s="8"/>
      <c r="N207" s="271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6178.61</v>
      </c>
      <c r="G208" s="18">
        <v>932.53</v>
      </c>
      <c r="H208" s="18">
        <v>208318.07</v>
      </c>
      <c r="I208" s="18">
        <v>259.13</v>
      </c>
      <c r="J208" s="18">
        <v>8391.2199999999993</v>
      </c>
      <c r="K208" s="18"/>
      <c r="L208" s="19">
        <f t="shared" si="0"/>
        <v>224079.56000000003</v>
      </c>
      <c r="M208" s="8"/>
      <c r="N208" s="271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1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1631421.04</v>
      </c>
      <c r="G211" s="41">
        <f t="shared" si="1"/>
        <v>752091.03</v>
      </c>
      <c r="H211" s="41">
        <f t="shared" si="1"/>
        <v>1167715.03</v>
      </c>
      <c r="I211" s="41">
        <f t="shared" si="1"/>
        <v>116952.6</v>
      </c>
      <c r="J211" s="41">
        <f t="shared" si="1"/>
        <v>32040.36</v>
      </c>
      <c r="K211" s="41">
        <f t="shared" si="1"/>
        <v>3850.19</v>
      </c>
      <c r="L211" s="41">
        <f t="shared" si="1"/>
        <v>3704070.2499999995</v>
      </c>
      <c r="M211" s="8"/>
      <c r="N211" s="271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6" t="s">
        <v>687</v>
      </c>
      <c r="G212" s="176" t="s">
        <v>688</v>
      </c>
      <c r="H212" s="176" t="s">
        <v>689</v>
      </c>
      <c r="I212" s="176" t="s">
        <v>690</v>
      </c>
      <c r="J212" s="176" t="s">
        <v>691</v>
      </c>
      <c r="K212" s="176" t="s">
        <v>692</v>
      </c>
      <c r="L212" s="67"/>
      <c r="M212" s="8"/>
      <c r="N212" s="271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1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877780</v>
      </c>
      <c r="I215" s="18"/>
      <c r="J215" s="18"/>
      <c r="K215" s="18"/>
      <c r="L215" s="19">
        <f>SUM(F215:K215)</f>
        <v>877780</v>
      </c>
      <c r="M215" s="8"/>
      <c r="N215" s="271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25391.75</v>
      </c>
      <c r="I216" s="18"/>
      <c r="J216" s="18"/>
      <c r="K216" s="18"/>
      <c r="L216" s="19">
        <f>SUM(F216:K216)</f>
        <v>25391.75</v>
      </c>
      <c r="M216" s="8"/>
      <c r="N216" s="271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1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2169.59</v>
      </c>
      <c r="G226" s="18">
        <v>327.45</v>
      </c>
      <c r="H226" s="18">
        <v>73149.86</v>
      </c>
      <c r="I226" s="18">
        <v>90.99</v>
      </c>
      <c r="J226" s="18">
        <v>2946.53</v>
      </c>
      <c r="K226" s="18"/>
      <c r="L226" s="19">
        <f t="shared" si="2"/>
        <v>78684.42</v>
      </c>
      <c r="M226" s="8"/>
      <c r="N226" s="271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1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2169.59</v>
      </c>
      <c r="G229" s="41">
        <f>SUM(G215:G228)</f>
        <v>327.45</v>
      </c>
      <c r="H229" s="41">
        <f>SUM(H215:H228)</f>
        <v>976321.61</v>
      </c>
      <c r="I229" s="41">
        <f>SUM(I215:I228)</f>
        <v>90.99</v>
      </c>
      <c r="J229" s="41">
        <f>SUM(J215:J228)</f>
        <v>2946.53</v>
      </c>
      <c r="K229" s="41">
        <f t="shared" si="3"/>
        <v>0</v>
      </c>
      <c r="L229" s="41">
        <f t="shared" si="3"/>
        <v>981856.17</v>
      </c>
      <c r="M229" s="8"/>
      <c r="N229" s="271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6" t="s">
        <v>687</v>
      </c>
      <c r="G230" s="176" t="s">
        <v>688</v>
      </c>
      <c r="H230" s="176" t="s">
        <v>689</v>
      </c>
      <c r="I230" s="176" t="s">
        <v>690</v>
      </c>
      <c r="J230" s="176" t="s">
        <v>691</v>
      </c>
      <c r="K230" s="176" t="s">
        <v>692</v>
      </c>
      <c r="L230" s="67"/>
      <c r="M230" s="8"/>
      <c r="N230" s="271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1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1412526</v>
      </c>
      <c r="I233" s="18"/>
      <c r="J233" s="18"/>
      <c r="K233" s="18"/>
      <c r="L233" s="19">
        <f>SUM(F233:K233)</f>
        <v>1412526</v>
      </c>
      <c r="M233" s="8"/>
      <c r="N233" s="271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449638.19</v>
      </c>
      <c r="I234" s="18"/>
      <c r="J234" s="18"/>
      <c r="K234" s="18"/>
      <c r="L234" s="19">
        <f>SUM(F234:K234)</f>
        <v>449638.19</v>
      </c>
      <c r="M234" s="8"/>
      <c r="N234" s="271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1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5140.9799999999996</v>
      </c>
      <c r="G244" s="18">
        <v>775.92</v>
      </c>
      <c r="H244" s="18">
        <v>173333.36</v>
      </c>
      <c r="I244" s="18">
        <v>215.61</v>
      </c>
      <c r="J244" s="18">
        <v>6982.01</v>
      </c>
      <c r="K244" s="18"/>
      <c r="L244" s="19">
        <f t="shared" si="4"/>
        <v>186447.87999999998</v>
      </c>
      <c r="M244" s="8"/>
      <c r="N244" s="271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1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5140.9799999999996</v>
      </c>
      <c r="G247" s="41">
        <f t="shared" si="5"/>
        <v>775.92</v>
      </c>
      <c r="H247" s="41">
        <f t="shared" si="5"/>
        <v>2035497.5499999998</v>
      </c>
      <c r="I247" s="41">
        <f t="shared" si="5"/>
        <v>215.61</v>
      </c>
      <c r="J247" s="41">
        <f t="shared" si="5"/>
        <v>6982.01</v>
      </c>
      <c r="K247" s="41">
        <f t="shared" si="5"/>
        <v>0</v>
      </c>
      <c r="L247" s="41">
        <f t="shared" si="5"/>
        <v>2048612.0699999998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6" t="s">
        <v>687</v>
      </c>
      <c r="G248" s="176" t="s">
        <v>688</v>
      </c>
      <c r="H248" s="176" t="s">
        <v>689</v>
      </c>
      <c r="I248" s="176" t="s">
        <v>690</v>
      </c>
      <c r="J248" s="176" t="s">
        <v>691</v>
      </c>
      <c r="K248" s="176" t="s">
        <v>692</v>
      </c>
      <c r="L248" s="67"/>
      <c r="M248" s="8"/>
      <c r="N248" s="271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1638731.61</v>
      </c>
      <c r="G257" s="41">
        <f t="shared" si="8"/>
        <v>753194.4</v>
      </c>
      <c r="H257" s="41">
        <f t="shared" si="8"/>
        <v>4179534.19</v>
      </c>
      <c r="I257" s="41">
        <f t="shared" si="8"/>
        <v>117259.20000000001</v>
      </c>
      <c r="J257" s="41">
        <f t="shared" si="8"/>
        <v>41968.9</v>
      </c>
      <c r="K257" s="41">
        <f t="shared" si="8"/>
        <v>3850.19</v>
      </c>
      <c r="L257" s="41">
        <f t="shared" si="8"/>
        <v>6734538.4900000002</v>
      </c>
      <c r="M257" s="8"/>
      <c r="N257" s="271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1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1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1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69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9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28220.02</v>
      </c>
      <c r="L263" s="19">
        <f>SUM(F263:K263)</f>
        <v>28220.02</v>
      </c>
      <c r="N263" s="269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69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69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92680</v>
      </c>
      <c r="L266" s="19">
        <f t="shared" si="9"/>
        <v>92680</v>
      </c>
      <c r="N266" s="269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9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69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69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120900.02</v>
      </c>
      <c r="L270" s="41">
        <f t="shared" si="9"/>
        <v>120900.02</v>
      </c>
      <c r="N270" s="269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1638731.61</v>
      </c>
      <c r="G271" s="42">
        <f t="shared" si="11"/>
        <v>753194.4</v>
      </c>
      <c r="H271" s="42">
        <f t="shared" si="11"/>
        <v>4179534.19</v>
      </c>
      <c r="I271" s="42">
        <f t="shared" si="11"/>
        <v>117259.20000000001</v>
      </c>
      <c r="J271" s="42">
        <f t="shared" si="11"/>
        <v>41968.9</v>
      </c>
      <c r="K271" s="42">
        <f t="shared" si="11"/>
        <v>124750.21</v>
      </c>
      <c r="L271" s="42">
        <f t="shared" si="11"/>
        <v>6855438.5099999998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464</v>
      </c>
      <c r="F273" s="176" t="s">
        <v>687</v>
      </c>
      <c r="G273" s="176" t="s">
        <v>688</v>
      </c>
      <c r="H273" s="176" t="s">
        <v>689</v>
      </c>
      <c r="I273" s="176" t="s">
        <v>690</v>
      </c>
      <c r="J273" s="176" t="s">
        <v>691</v>
      </c>
      <c r="K273" s="176" t="s">
        <v>692</v>
      </c>
      <c r="M273" s="8"/>
      <c r="N273" s="271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1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26536.639999999999</v>
      </c>
      <c r="G276" s="18">
        <v>14764.21</v>
      </c>
      <c r="H276" s="18">
        <v>3655.53</v>
      </c>
      <c r="I276" s="18">
        <v>4860.0600000000004</v>
      </c>
      <c r="J276" s="18">
        <v>14489.94</v>
      </c>
      <c r="K276" s="18"/>
      <c r="L276" s="19">
        <f>SUM(F276:K276)</f>
        <v>64306.38</v>
      </c>
      <c r="M276" s="8"/>
      <c r="N276" s="271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6175.58</v>
      </c>
      <c r="G279" s="18">
        <v>488.26</v>
      </c>
      <c r="H279" s="18">
        <v>4460.71</v>
      </c>
      <c r="I279" s="18">
        <v>11683.91</v>
      </c>
      <c r="J279" s="18"/>
      <c r="K279" s="18"/>
      <c r="L279" s="19">
        <f>SUM(F279:K279)</f>
        <v>22808.46</v>
      </c>
      <c r="M279" s="8"/>
      <c r="N279" s="271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1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3000</v>
      </c>
      <c r="G282" s="18">
        <v>754.03</v>
      </c>
      <c r="H282" s="18">
        <v>22152.26</v>
      </c>
      <c r="I282" s="18">
        <v>7948.84</v>
      </c>
      <c r="J282" s="18"/>
      <c r="K282" s="18"/>
      <c r="L282" s="19">
        <f t="shared" si="12"/>
        <v>33855.129999999997</v>
      </c>
      <c r="M282" s="8"/>
      <c r="N282" s="271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1127.03</v>
      </c>
      <c r="L283" s="19">
        <f t="shared" si="12"/>
        <v>1127.03</v>
      </c>
      <c r="M283" s="8"/>
      <c r="N283" s="271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1632.83</v>
      </c>
      <c r="G287" s="18">
        <v>310.70999999999998</v>
      </c>
      <c r="H287" s="18"/>
      <c r="I287" s="18"/>
      <c r="J287" s="18"/>
      <c r="K287" s="18"/>
      <c r="L287" s="19">
        <f t="shared" si="12"/>
        <v>1943.54</v>
      </c>
      <c r="M287" s="8"/>
      <c r="N287" s="271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1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37345.050000000003</v>
      </c>
      <c r="G290" s="42">
        <f t="shared" si="13"/>
        <v>16317.21</v>
      </c>
      <c r="H290" s="42">
        <f t="shared" si="13"/>
        <v>30268.5</v>
      </c>
      <c r="I290" s="42">
        <f t="shared" si="13"/>
        <v>24492.81</v>
      </c>
      <c r="J290" s="42">
        <f t="shared" si="13"/>
        <v>14489.94</v>
      </c>
      <c r="K290" s="42">
        <f t="shared" si="13"/>
        <v>1127.03</v>
      </c>
      <c r="L290" s="41">
        <f t="shared" si="13"/>
        <v>124040.54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6" t="s">
        <v>687</v>
      </c>
      <c r="G292" s="176" t="s">
        <v>688</v>
      </c>
      <c r="H292" s="176" t="s">
        <v>689</v>
      </c>
      <c r="I292" s="176" t="s">
        <v>690</v>
      </c>
      <c r="J292" s="176" t="s">
        <v>691</v>
      </c>
      <c r="K292" s="176" t="s">
        <v>692</v>
      </c>
      <c r="L292" s="17"/>
      <c r="M292" s="8"/>
      <c r="N292" s="271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1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1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1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6" t="s">
        <v>687</v>
      </c>
      <c r="G311" s="176" t="s">
        <v>688</v>
      </c>
      <c r="H311" s="176" t="s">
        <v>689</v>
      </c>
      <c r="I311" s="176" t="s">
        <v>690</v>
      </c>
      <c r="J311" s="176" t="s">
        <v>691</v>
      </c>
      <c r="K311" s="176" t="s">
        <v>692</v>
      </c>
      <c r="L311" s="20"/>
      <c r="M311" s="8"/>
      <c r="N311" s="271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1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1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1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6" t="s">
        <v>687</v>
      </c>
      <c r="G330" s="176" t="s">
        <v>688</v>
      </c>
      <c r="H330" s="176" t="s">
        <v>689</v>
      </c>
      <c r="I330" s="176" t="s">
        <v>690</v>
      </c>
      <c r="J330" s="176" t="s">
        <v>691</v>
      </c>
      <c r="K330" s="176" t="s">
        <v>692</v>
      </c>
      <c r="L330" s="19"/>
      <c r="M330" s="8"/>
      <c r="N330" s="271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37345.050000000003</v>
      </c>
      <c r="G338" s="41">
        <f t="shared" si="20"/>
        <v>16317.21</v>
      </c>
      <c r="H338" s="41">
        <f t="shared" si="20"/>
        <v>30268.5</v>
      </c>
      <c r="I338" s="41">
        <f t="shared" si="20"/>
        <v>24492.81</v>
      </c>
      <c r="J338" s="41">
        <f t="shared" si="20"/>
        <v>14489.94</v>
      </c>
      <c r="K338" s="41">
        <f t="shared" si="20"/>
        <v>1127.03</v>
      </c>
      <c r="L338" s="41">
        <f t="shared" si="20"/>
        <v>124040.54</v>
      </c>
      <c r="M338" s="8"/>
      <c r="N338" s="271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1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1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37345.050000000003</v>
      </c>
      <c r="G352" s="41">
        <f>G338</f>
        <v>16317.21</v>
      </c>
      <c r="H352" s="41">
        <f>H338</f>
        <v>30268.5</v>
      </c>
      <c r="I352" s="41">
        <f>I338</f>
        <v>24492.81</v>
      </c>
      <c r="J352" s="41">
        <f>J338</f>
        <v>14489.94</v>
      </c>
      <c r="K352" s="47">
        <f>K338+K351</f>
        <v>1127.03</v>
      </c>
      <c r="L352" s="41">
        <f>L338+L351</f>
        <v>124040.54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687</v>
      </c>
      <c r="G354" s="176" t="s">
        <v>688</v>
      </c>
      <c r="H354" s="176" t="s">
        <v>689</v>
      </c>
      <c r="I354" s="176" t="s">
        <v>690</v>
      </c>
      <c r="J354" s="176" t="s">
        <v>691</v>
      </c>
      <c r="K354" s="176" t="s">
        <v>692</v>
      </c>
      <c r="L354" s="53"/>
      <c r="M354" s="8"/>
      <c r="N354" s="271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1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1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67402.289999999994</v>
      </c>
      <c r="G358" s="18">
        <v>29607.09</v>
      </c>
      <c r="H358" s="18">
        <v>357.88</v>
      </c>
      <c r="I358" s="18">
        <v>47236.83</v>
      </c>
      <c r="J358" s="18">
        <v>2000</v>
      </c>
      <c r="K358" s="18"/>
      <c r="L358" s="13">
        <f>SUM(F358:K358)</f>
        <v>146604.09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1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67402.289999999994</v>
      </c>
      <c r="G362" s="47">
        <f t="shared" si="22"/>
        <v>29607.09</v>
      </c>
      <c r="H362" s="47">
        <f t="shared" si="22"/>
        <v>357.88</v>
      </c>
      <c r="I362" s="47">
        <f t="shared" si="22"/>
        <v>47236.83</v>
      </c>
      <c r="J362" s="47">
        <f t="shared" si="22"/>
        <v>2000</v>
      </c>
      <c r="K362" s="47">
        <f t="shared" si="22"/>
        <v>0</v>
      </c>
      <c r="L362" s="47">
        <f t="shared" si="22"/>
        <v>146604.09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1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42946.57</v>
      </c>
      <c r="G367" s="18"/>
      <c r="H367" s="18"/>
      <c r="I367" s="56">
        <f>SUM(F367:H367)</f>
        <v>42946.57</v>
      </c>
      <c r="J367" s="24" t="s">
        <v>286</v>
      </c>
      <c r="K367" s="24" t="s">
        <v>286</v>
      </c>
      <c r="L367" s="24" t="s">
        <v>286</v>
      </c>
      <c r="M367" s="8"/>
      <c r="N367" s="271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4290.26</v>
      </c>
      <c r="G368" s="63"/>
      <c r="H368" s="63"/>
      <c r="I368" s="56">
        <f>SUM(F368:H368)</f>
        <v>4290.26</v>
      </c>
      <c r="J368" s="24" t="s">
        <v>286</v>
      </c>
      <c r="K368" s="24" t="s">
        <v>286</v>
      </c>
      <c r="L368" s="24" t="s">
        <v>286</v>
      </c>
      <c r="M368" s="8"/>
      <c r="N368" s="271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47236.83</v>
      </c>
      <c r="G369" s="47">
        <f>SUM(G367:G368)</f>
        <v>0</v>
      </c>
      <c r="H369" s="47">
        <f>SUM(H367:H368)</f>
        <v>0</v>
      </c>
      <c r="I369" s="47">
        <f>SUM(I367:I368)</f>
        <v>47236.83</v>
      </c>
      <c r="J369" s="24" t="s">
        <v>286</v>
      </c>
      <c r="K369" s="24" t="s">
        <v>286</v>
      </c>
      <c r="L369" s="24" t="s">
        <v>286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6" t="s">
        <v>687</v>
      </c>
      <c r="G371" s="176" t="s">
        <v>688</v>
      </c>
      <c r="H371" s="176" t="s">
        <v>689</v>
      </c>
      <c r="I371" s="176" t="s">
        <v>690</v>
      </c>
      <c r="J371" s="176" t="s">
        <v>691</v>
      </c>
      <c r="K371" s="176" t="s">
        <v>692</v>
      </c>
      <c r="L371" s="13"/>
      <c r="M371" s="8"/>
      <c r="N371" s="271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1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1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1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59000</v>
      </c>
      <c r="H389" s="18"/>
      <c r="I389" s="18"/>
      <c r="J389" s="24" t="s">
        <v>286</v>
      </c>
      <c r="K389" s="24" t="s">
        <v>286</v>
      </c>
      <c r="L389" s="56">
        <f t="shared" si="25"/>
        <v>59000</v>
      </c>
      <c r="M389" s="8"/>
      <c r="N389" s="271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>
        <v>8680</v>
      </c>
      <c r="H390" s="18"/>
      <c r="I390" s="18"/>
      <c r="J390" s="24" t="s">
        <v>286</v>
      </c>
      <c r="K390" s="24" t="s">
        <v>286</v>
      </c>
      <c r="L390" s="56">
        <f t="shared" si="25"/>
        <v>8680</v>
      </c>
      <c r="M390" s="8"/>
      <c r="N390" s="271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25000</v>
      </c>
      <c r="H392" s="18"/>
      <c r="I392" s="18"/>
      <c r="J392" s="24" t="s">
        <v>286</v>
      </c>
      <c r="K392" s="24" t="s">
        <v>286</v>
      </c>
      <c r="L392" s="56">
        <f t="shared" si="25"/>
        <v>25000</v>
      </c>
      <c r="M392" s="8"/>
      <c r="N392" s="271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92680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92680</v>
      </c>
      <c r="M393" s="8"/>
      <c r="N393" s="271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1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1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1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1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1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1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1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1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1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1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1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92680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92680</v>
      </c>
      <c r="M408" s="8"/>
      <c r="N408" s="271"/>
    </row>
    <row r="409" spans="1:35" s="3" customFormat="1" ht="12.2" customHeight="1" x14ac:dyDescent="0.15">
      <c r="A409" s="78"/>
      <c r="B409" s="2"/>
      <c r="C409" s="6"/>
      <c r="D409" s="6"/>
      <c r="E409" s="6"/>
      <c r="F409" s="176" t="s">
        <v>687</v>
      </c>
      <c r="G409" s="176" t="s">
        <v>688</v>
      </c>
      <c r="H409" s="176" t="s">
        <v>689</v>
      </c>
      <c r="I409" s="176" t="s">
        <v>690</v>
      </c>
      <c r="J409" s="176" t="s">
        <v>691</v>
      </c>
      <c r="K409" s="176" t="s">
        <v>692</v>
      </c>
      <c r="L409" s="56"/>
      <c r="M409" s="8"/>
      <c r="N409" s="271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1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1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1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>
        <v>150000</v>
      </c>
      <c r="L415" s="56">
        <f t="shared" si="27"/>
        <v>150000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>
        <v>65108.65</v>
      </c>
      <c r="L416" s="56">
        <f t="shared" si="27"/>
        <v>65108.65</v>
      </c>
      <c r="M416" s="8"/>
      <c r="N416" s="271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215108.65</v>
      </c>
      <c r="L419" s="47">
        <f t="shared" si="28"/>
        <v>215108.65</v>
      </c>
      <c r="M419" s="8"/>
      <c r="N419" s="271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1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6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215108.65</v>
      </c>
      <c r="L434" s="47">
        <f t="shared" si="32"/>
        <v>215108.65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1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1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56519.35</v>
      </c>
      <c r="H440" s="18"/>
      <c r="I440" s="56">
        <f t="shared" si="33"/>
        <v>56519.35</v>
      </c>
      <c r="J440" s="24" t="s">
        <v>286</v>
      </c>
      <c r="K440" s="24" t="s">
        <v>286</v>
      </c>
      <c r="L440" s="24" t="s">
        <v>286</v>
      </c>
      <c r="M440" s="8"/>
      <c r="N440" s="271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1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1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1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1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1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56519.35</v>
      </c>
      <c r="H446" s="13">
        <f>SUM(H439:H445)</f>
        <v>0</v>
      </c>
      <c r="I446" s="13">
        <f>SUM(I439:I445)</f>
        <v>56519.35</v>
      </c>
      <c r="J446" s="24" t="s">
        <v>286</v>
      </c>
      <c r="K446" s="24" t="s">
        <v>286</v>
      </c>
      <c r="L446" s="24" t="s">
        <v>286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1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1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1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1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1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1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1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1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6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56519.35</v>
      </c>
      <c r="H459" s="18"/>
      <c r="I459" s="56">
        <f t="shared" si="34"/>
        <v>56519.35</v>
      </c>
      <c r="J459" s="24" t="s">
        <v>286</v>
      </c>
      <c r="K459" s="24" t="s">
        <v>286</v>
      </c>
      <c r="L459" s="24" t="s">
        <v>286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56519.35</v>
      </c>
      <c r="H460" s="83">
        <f>SUM(H454:H459)</f>
        <v>0</v>
      </c>
      <c r="I460" s="83">
        <f>SUM(I454:I459)</f>
        <v>56519.35</v>
      </c>
      <c r="J460" s="24" t="s">
        <v>286</v>
      </c>
      <c r="K460" s="24" t="s">
        <v>286</v>
      </c>
      <c r="L460" s="24" t="s">
        <v>286</v>
      </c>
      <c r="N460" s="270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56519.35</v>
      </c>
      <c r="H461" s="42">
        <f>H452+H460</f>
        <v>0</v>
      </c>
      <c r="I461" s="42">
        <f>I452+I460</f>
        <v>56519.35</v>
      </c>
      <c r="J461" s="24" t="s">
        <v>286</v>
      </c>
      <c r="K461" s="24" t="s">
        <v>286</v>
      </c>
      <c r="L461" s="24" t="s">
        <v>286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8" t="s">
        <v>903</v>
      </c>
      <c r="B465" s="105">
        <v>19</v>
      </c>
      <c r="C465" s="111">
        <v>1</v>
      </c>
      <c r="D465" s="2" t="s">
        <v>430</v>
      </c>
      <c r="E465" s="111"/>
      <c r="F465" s="18">
        <v>22575</v>
      </c>
      <c r="G465" s="18"/>
      <c r="H465" s="18"/>
      <c r="I465" s="18"/>
      <c r="J465" s="18">
        <v>178948</v>
      </c>
      <c r="K465" s="24" t="s">
        <v>286</v>
      </c>
      <c r="L465" s="24" t="s">
        <v>286</v>
      </c>
      <c r="N465" s="270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0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0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6832862.5599999996</v>
      </c>
      <c r="G468" s="18">
        <v>146604.09</v>
      </c>
      <c r="H468" s="18">
        <v>124040.54</v>
      </c>
      <c r="I468" s="18"/>
      <c r="J468" s="18">
        <v>92680</v>
      </c>
      <c r="K468" s="24" t="s">
        <v>286</v>
      </c>
      <c r="L468" s="24" t="s">
        <v>286</v>
      </c>
      <c r="N468" s="270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0.95</v>
      </c>
      <c r="G469" s="18"/>
      <c r="H469" s="18"/>
      <c r="I469" s="18"/>
      <c r="J469" s="18"/>
      <c r="K469" s="24" t="s">
        <v>286</v>
      </c>
      <c r="L469" s="24" t="s">
        <v>286</v>
      </c>
      <c r="N469" s="270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6832863.5099999998</v>
      </c>
      <c r="G470" s="53">
        <f>SUM(G468:G469)</f>
        <v>146604.09</v>
      </c>
      <c r="H470" s="53">
        <f>SUM(H468:H469)</f>
        <v>124040.54</v>
      </c>
      <c r="I470" s="53">
        <f>SUM(I468:I469)</f>
        <v>0</v>
      </c>
      <c r="J470" s="53">
        <f>SUM(J468:J469)</f>
        <v>92680</v>
      </c>
      <c r="K470" s="24" t="s">
        <v>286</v>
      </c>
      <c r="L470" s="24" t="s">
        <v>286</v>
      </c>
      <c r="N470" s="270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0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6855438.5099999998</v>
      </c>
      <c r="G472" s="18">
        <v>146604.09</v>
      </c>
      <c r="H472" s="18">
        <v>124040.54</v>
      </c>
      <c r="I472" s="18"/>
      <c r="J472" s="18">
        <v>215108.65</v>
      </c>
      <c r="K472" s="24" t="s">
        <v>286</v>
      </c>
      <c r="L472" s="24" t="s">
        <v>286</v>
      </c>
      <c r="N472" s="270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0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6855438.5099999998</v>
      </c>
      <c r="G474" s="53">
        <f>SUM(G472:G473)</f>
        <v>146604.09</v>
      </c>
      <c r="H474" s="53">
        <f>SUM(H472:H473)</f>
        <v>124040.54</v>
      </c>
      <c r="I474" s="53">
        <f>SUM(I472:I473)</f>
        <v>0</v>
      </c>
      <c r="J474" s="53">
        <f>SUM(J472:J473)</f>
        <v>215108.65</v>
      </c>
      <c r="K474" s="24" t="s">
        <v>286</v>
      </c>
      <c r="L474" s="24" t="s">
        <v>286</v>
      </c>
      <c r="N474" s="270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0"/>
    </row>
    <row r="476" spans="1:14" s="52" customFormat="1" ht="12.2" customHeight="1" x14ac:dyDescent="0.2">
      <c r="A476" s="189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56519.350000000006</v>
      </c>
      <c r="K476" s="24" t="s">
        <v>286</v>
      </c>
      <c r="L476" s="24" t="s">
        <v>286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274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0"/>
    </row>
    <row r="481" spans="1:14" s="52" customFormat="1" ht="12.2" customHeight="1" x14ac:dyDescent="0.2">
      <c r="A481" s="2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0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0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0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0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0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0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0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0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0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0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0"/>
    </row>
    <row r="498" spans="1:14" s="52" customFormat="1" ht="12.2" customHeight="1" x14ac:dyDescent="0.2">
      <c r="A498" s="199" t="s">
        <v>620</v>
      </c>
      <c r="B498" s="200">
        <v>20</v>
      </c>
      <c r="C498" s="201">
        <v>9</v>
      </c>
      <c r="D498" s="202" t="s">
        <v>430</v>
      </c>
      <c r="E498" s="201"/>
      <c r="F498" s="203"/>
      <c r="G498" s="203"/>
      <c r="H498" s="203"/>
      <c r="I498" s="203"/>
      <c r="J498" s="203"/>
      <c r="K498" s="204">
        <f t="shared" si="35"/>
        <v>0</v>
      </c>
      <c r="L498" s="205" t="s">
        <v>286</v>
      </c>
      <c r="N498" s="270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0"/>
    </row>
    <row r="500" spans="1:14" s="52" customFormat="1" ht="12.2" customHeight="1" thickTop="1" x14ac:dyDescent="0.2">
      <c r="A500" s="139" t="s">
        <v>622</v>
      </c>
      <c r="B500" s="44">
        <v>20</v>
      </c>
      <c r="C500" s="194">
        <v>11</v>
      </c>
      <c r="D500" s="39" t="s">
        <v>430</v>
      </c>
      <c r="E500" s="194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0"/>
    </row>
    <row r="501" spans="1:14" s="52" customFormat="1" ht="12.2" customHeight="1" x14ac:dyDescent="0.2">
      <c r="A501" s="199" t="s">
        <v>649</v>
      </c>
      <c r="B501" s="200">
        <v>20</v>
      </c>
      <c r="C501" s="201">
        <v>12</v>
      </c>
      <c r="D501" s="202" t="s">
        <v>430</v>
      </c>
      <c r="E501" s="201"/>
      <c r="F501" s="203"/>
      <c r="G501" s="203"/>
      <c r="H501" s="203"/>
      <c r="I501" s="203"/>
      <c r="J501" s="203"/>
      <c r="K501" s="204">
        <f t="shared" si="35"/>
        <v>0</v>
      </c>
      <c r="L501" s="205" t="s">
        <v>286</v>
      </c>
      <c r="N501" s="270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0"/>
    </row>
    <row r="503" spans="1:14" s="52" customFormat="1" ht="12.2" customHeight="1" thickTop="1" x14ac:dyDescent="0.2">
      <c r="A503" s="139" t="s">
        <v>624</v>
      </c>
      <c r="B503" s="44">
        <v>20</v>
      </c>
      <c r="C503" s="194">
        <v>14</v>
      </c>
      <c r="D503" s="39" t="s">
        <v>430</v>
      </c>
      <c r="E503" s="194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43566.13</v>
      </c>
      <c r="G507" s="144">
        <v>2356.5100000000002</v>
      </c>
      <c r="H507" s="144">
        <v>9532.15</v>
      </c>
      <c r="I507" s="144">
        <v>36390.49</v>
      </c>
      <c r="J507" s="24" t="s">
        <v>286</v>
      </c>
      <c r="K507" s="24" t="s">
        <v>286</v>
      </c>
      <c r="L507" s="24" t="s">
        <v>286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0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0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0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0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0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0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0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6" t="s">
        <v>687</v>
      </c>
      <c r="G518" s="176" t="s">
        <v>688</v>
      </c>
      <c r="H518" s="176" t="s">
        <v>689</v>
      </c>
      <c r="I518" s="176" t="s">
        <v>690</v>
      </c>
      <c r="J518" s="176" t="s">
        <v>691</v>
      </c>
      <c r="K518" s="176" t="s">
        <v>692</v>
      </c>
      <c r="L518" s="106"/>
      <c r="N518" s="270"/>
    </row>
    <row r="519" spans="1:14" s="52" customFormat="1" ht="12.2" customHeight="1" x14ac:dyDescent="0.2">
      <c r="A519" s="177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0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210996.04</v>
      </c>
      <c r="G521" s="18">
        <v>94727.93</v>
      </c>
      <c r="H521" s="18">
        <v>161679.12</v>
      </c>
      <c r="I521" s="18">
        <v>1754.96</v>
      </c>
      <c r="J521" s="18"/>
      <c r="K521" s="18"/>
      <c r="L521" s="88">
        <f>SUM(F521:K521)</f>
        <v>469158.05</v>
      </c>
      <c r="N521" s="270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25391.75</v>
      </c>
      <c r="I522" s="18"/>
      <c r="J522" s="18"/>
      <c r="K522" s="18"/>
      <c r="L522" s="88">
        <f>SUM(F522:K522)</f>
        <v>25391.75</v>
      </c>
      <c r="N522" s="270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449638.19</v>
      </c>
      <c r="I523" s="18"/>
      <c r="J523" s="18"/>
      <c r="K523" s="18"/>
      <c r="L523" s="88">
        <f>SUM(F523:K523)</f>
        <v>449638.19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4">
        <v>4</v>
      </c>
      <c r="D524" s="195" t="s">
        <v>430</v>
      </c>
      <c r="E524" s="194"/>
      <c r="F524" s="108">
        <f>SUM(F521:F523)</f>
        <v>210996.04</v>
      </c>
      <c r="G524" s="108">
        <f t="shared" ref="G524:L524" si="36">SUM(G521:G523)</f>
        <v>94727.93</v>
      </c>
      <c r="H524" s="108">
        <f t="shared" si="36"/>
        <v>636709.06000000006</v>
      </c>
      <c r="I524" s="108">
        <f t="shared" si="36"/>
        <v>1754.96</v>
      </c>
      <c r="J524" s="108">
        <f t="shared" si="36"/>
        <v>0</v>
      </c>
      <c r="K524" s="108">
        <f t="shared" si="36"/>
        <v>0</v>
      </c>
      <c r="L524" s="89">
        <f t="shared" si="36"/>
        <v>944187.99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0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49585.29</v>
      </c>
      <c r="G526" s="18">
        <v>4983.8599999999997</v>
      </c>
      <c r="H526" s="18">
        <v>400</v>
      </c>
      <c r="I526" s="18">
        <v>708.53</v>
      </c>
      <c r="J526" s="18"/>
      <c r="K526" s="18"/>
      <c r="L526" s="88">
        <f>SUM(F526:K526)</f>
        <v>55677.68</v>
      </c>
      <c r="M526" s="8"/>
      <c r="N526" s="271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49585.29</v>
      </c>
      <c r="G529" s="89">
        <f t="shared" ref="G529:L529" si="37">SUM(G526:G528)</f>
        <v>4983.8599999999997</v>
      </c>
      <c r="H529" s="89">
        <f t="shared" si="37"/>
        <v>400</v>
      </c>
      <c r="I529" s="89">
        <f t="shared" si="37"/>
        <v>708.53</v>
      </c>
      <c r="J529" s="89">
        <f t="shared" si="37"/>
        <v>0</v>
      </c>
      <c r="K529" s="89">
        <f t="shared" si="37"/>
        <v>0</v>
      </c>
      <c r="L529" s="89">
        <f t="shared" si="37"/>
        <v>55677.68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1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29108.1</v>
      </c>
      <c r="G531" s="18">
        <v>7550.59</v>
      </c>
      <c r="H531" s="18">
        <v>1223.51</v>
      </c>
      <c r="I531" s="18">
        <v>41.53</v>
      </c>
      <c r="J531" s="18">
        <v>359.34</v>
      </c>
      <c r="K531" s="18">
        <v>228.33</v>
      </c>
      <c r="L531" s="88">
        <f>SUM(F531:K531)</f>
        <v>38511.4</v>
      </c>
      <c r="M531" s="8"/>
      <c r="N531" s="271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29108.1</v>
      </c>
      <c r="G534" s="89">
        <f t="shared" ref="G534:L534" si="38">SUM(G531:G533)</f>
        <v>7550.59</v>
      </c>
      <c r="H534" s="89">
        <f t="shared" si="38"/>
        <v>1223.51</v>
      </c>
      <c r="I534" s="89">
        <f t="shared" si="38"/>
        <v>41.53</v>
      </c>
      <c r="J534" s="89">
        <f t="shared" si="38"/>
        <v>359.34</v>
      </c>
      <c r="K534" s="89">
        <f t="shared" si="38"/>
        <v>228.33</v>
      </c>
      <c r="L534" s="89">
        <f t="shared" si="38"/>
        <v>38511.4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3" t="s">
        <v>286</v>
      </c>
      <c r="G535" s="193" t="s">
        <v>286</v>
      </c>
      <c r="H535" s="193" t="s">
        <v>286</v>
      </c>
      <c r="I535" s="193" t="s">
        <v>286</v>
      </c>
      <c r="J535" s="193" t="s">
        <v>286</v>
      </c>
      <c r="K535" s="193" t="s">
        <v>286</v>
      </c>
      <c r="L535" s="193" t="s">
        <v>286</v>
      </c>
      <c r="M535" s="8"/>
      <c r="N535" s="271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1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1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891</v>
      </c>
      <c r="I541" s="18"/>
      <c r="J541" s="18"/>
      <c r="K541" s="18"/>
      <c r="L541" s="88">
        <f>SUM(F541:K541)</f>
        <v>891</v>
      </c>
      <c r="M541" s="8"/>
      <c r="N541" s="271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103638.83</v>
      </c>
      <c r="I543" s="18"/>
      <c r="J543" s="18"/>
      <c r="K543" s="18"/>
      <c r="L543" s="88">
        <f>SUM(F543:K543)</f>
        <v>103638.83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430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104529.83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104529.83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289689.43</v>
      </c>
      <c r="G545" s="89">
        <f t="shared" ref="G545:L545" si="41">G524+G529+G534+G539+G544</f>
        <v>107262.37999999999</v>
      </c>
      <c r="H545" s="89">
        <f t="shared" si="41"/>
        <v>742862.4</v>
      </c>
      <c r="I545" s="89">
        <f t="shared" si="41"/>
        <v>2505.02</v>
      </c>
      <c r="J545" s="89">
        <f t="shared" si="41"/>
        <v>359.34</v>
      </c>
      <c r="K545" s="89">
        <f t="shared" si="41"/>
        <v>228.33</v>
      </c>
      <c r="L545" s="89">
        <f t="shared" si="41"/>
        <v>1142906.9000000001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1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469158.05</v>
      </c>
      <c r="G549" s="87">
        <f>L526</f>
        <v>55677.68</v>
      </c>
      <c r="H549" s="87">
        <f>L531</f>
        <v>38511.4</v>
      </c>
      <c r="I549" s="87">
        <f>L536</f>
        <v>0</v>
      </c>
      <c r="J549" s="87">
        <f>L541</f>
        <v>891</v>
      </c>
      <c r="K549" s="87">
        <f>SUM(F549:J549)</f>
        <v>564238.13</v>
      </c>
      <c r="L549" s="24" t="s">
        <v>286</v>
      </c>
      <c r="M549" s="8"/>
      <c r="N549" s="271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25391.75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25391.75</v>
      </c>
      <c r="L550" s="24" t="s">
        <v>286</v>
      </c>
      <c r="M550" s="8"/>
      <c r="N550" s="271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449638.19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103638.83</v>
      </c>
      <c r="K551" s="87">
        <f>SUM(F551:J551)</f>
        <v>553277.02</v>
      </c>
      <c r="L551" s="24" t="s">
        <v>286</v>
      </c>
      <c r="M551" s="8"/>
      <c r="N551" s="271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944187.99</v>
      </c>
      <c r="G552" s="89">
        <f t="shared" si="42"/>
        <v>55677.68</v>
      </c>
      <c r="H552" s="89">
        <f t="shared" si="42"/>
        <v>38511.4</v>
      </c>
      <c r="I552" s="89">
        <f t="shared" si="42"/>
        <v>0</v>
      </c>
      <c r="J552" s="89">
        <f t="shared" si="42"/>
        <v>104529.83</v>
      </c>
      <c r="K552" s="89">
        <f t="shared" si="42"/>
        <v>1142906.8999999999</v>
      </c>
      <c r="L552" s="24"/>
      <c r="M552" s="8"/>
      <c r="N552" s="271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6" t="s">
        <v>687</v>
      </c>
      <c r="G554" s="176" t="s">
        <v>688</v>
      </c>
      <c r="H554" s="176" t="s">
        <v>689</v>
      </c>
      <c r="I554" s="176" t="s">
        <v>690</v>
      </c>
      <c r="J554" s="176" t="s">
        <v>691</v>
      </c>
      <c r="K554" s="176" t="s">
        <v>692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1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4">
        <v>4</v>
      </c>
      <c r="D560" s="195" t="s">
        <v>430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1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5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1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430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1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877780</v>
      </c>
      <c r="H575" s="18">
        <v>1412526</v>
      </c>
      <c r="I575" s="87">
        <f>SUM(F575:H575)</f>
        <v>2290306</v>
      </c>
      <c r="J575" s="24" t="s">
        <v>286</v>
      </c>
      <c r="K575" s="24" t="s">
        <v>286</v>
      </c>
      <c r="L575" s="24" t="s">
        <v>286</v>
      </c>
      <c r="M575" s="8"/>
      <c r="N575" s="271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1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1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1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1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49508.480000000003</v>
      </c>
      <c r="G580" s="18">
        <v>25273</v>
      </c>
      <c r="H580" s="18">
        <v>312912.78999999998</v>
      </c>
      <c r="I580" s="87">
        <f t="shared" si="47"/>
        <v>387694.27</v>
      </c>
      <c r="J580" s="24" t="s">
        <v>286</v>
      </c>
      <c r="K580" s="24" t="s">
        <v>286</v>
      </c>
      <c r="L580" s="24" t="s">
        <v>286</v>
      </c>
      <c r="M580" s="8"/>
      <c r="N580" s="271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1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1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1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1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1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1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1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222964.53</v>
      </c>
      <c r="I591" s="18">
        <v>78684.42</v>
      </c>
      <c r="J591" s="18">
        <v>82809.05</v>
      </c>
      <c r="K591" s="104">
        <f t="shared" ref="K591:K597" si="48">SUM(H591:J591)</f>
        <v>384458</v>
      </c>
      <c r="L591" s="24" t="s">
        <v>286</v>
      </c>
      <c r="M591" s="8"/>
      <c r="N591" s="271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891</v>
      </c>
      <c r="I592" s="18"/>
      <c r="J592" s="18">
        <v>103638.83</v>
      </c>
      <c r="K592" s="104">
        <f t="shared" si="48"/>
        <v>104529.83</v>
      </c>
      <c r="L592" s="24" t="s">
        <v>286</v>
      </c>
      <c r="M592" s="8"/>
      <c r="N592" s="271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1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224.03</v>
      </c>
      <c r="I594" s="18"/>
      <c r="J594" s="18"/>
      <c r="K594" s="104">
        <f t="shared" si="48"/>
        <v>224.03</v>
      </c>
      <c r="L594" s="24" t="s">
        <v>286</v>
      </c>
      <c r="M594" s="8"/>
      <c r="N594" s="271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1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1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1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224079.56</v>
      </c>
      <c r="I598" s="108">
        <f>SUM(I591:I597)</f>
        <v>78684.42</v>
      </c>
      <c r="J598" s="108">
        <f>SUM(J591:J597)</f>
        <v>186447.88</v>
      </c>
      <c r="K598" s="108">
        <f>SUM(K591:K597)</f>
        <v>489211.86000000004</v>
      </c>
      <c r="L598" s="24" t="s">
        <v>286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1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1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56458.84</v>
      </c>
      <c r="I604" s="18"/>
      <c r="J604" s="18"/>
      <c r="K604" s="104">
        <f>SUM(H604:J604)</f>
        <v>56458.84</v>
      </c>
      <c r="L604" s="24" t="s">
        <v>286</v>
      </c>
      <c r="M604" s="8"/>
      <c r="N604" s="271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56458.84</v>
      </c>
      <c r="I605" s="108">
        <f>SUM(I602:I604)</f>
        <v>0</v>
      </c>
      <c r="J605" s="108">
        <f>SUM(J602:J604)</f>
        <v>0</v>
      </c>
      <c r="K605" s="108">
        <f>SUM(K602:K604)</f>
        <v>56458.84</v>
      </c>
      <c r="L605" s="24" t="s">
        <v>286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6" t="s">
        <v>687</v>
      </c>
      <c r="G609" s="176" t="s">
        <v>688</v>
      </c>
      <c r="H609" s="176" t="s">
        <v>689</v>
      </c>
      <c r="I609" s="176" t="s">
        <v>690</v>
      </c>
      <c r="J609" s="176" t="s">
        <v>691</v>
      </c>
      <c r="K609" s="176" t="s">
        <v>692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159125.91999999998</v>
      </c>
      <c r="H617" s="109">
        <f>SUM(F52)</f>
        <v>159125.92000000001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950.94000000000051</v>
      </c>
      <c r="H618" s="109">
        <f>SUM(G52)</f>
        <v>950.94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38188.33</v>
      </c>
      <c r="H619" s="109">
        <f>SUM(H52)</f>
        <v>38188.33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56519.35</v>
      </c>
      <c r="H621" s="109">
        <f>SUM(J52)</f>
        <v>56519.35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56519.35</v>
      </c>
      <c r="H626" s="109">
        <f>J476</f>
        <v>56519.350000000006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6832862.5600000005</v>
      </c>
      <c r="H627" s="104">
        <f>SUM(F468)</f>
        <v>6832862.5599999996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146604.09</v>
      </c>
      <c r="H628" s="104">
        <f>SUM(G468)</f>
        <v>146604.09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124040.54</v>
      </c>
      <c r="H629" s="104">
        <f>SUM(H468)</f>
        <v>124040.54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92680</v>
      </c>
      <c r="H631" s="104">
        <f>SUM(J468)</f>
        <v>92680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6855438.5099999998</v>
      </c>
      <c r="H632" s="104">
        <f>SUM(F472)</f>
        <v>6855438.5099999998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124040.54</v>
      </c>
      <c r="H633" s="104">
        <f>SUM(H472)</f>
        <v>124040.54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47236.83</v>
      </c>
      <c r="H634" s="104">
        <f>I369</f>
        <v>47236.83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146604.09</v>
      </c>
      <c r="H635" s="104">
        <f>SUM(G472)</f>
        <v>146604.09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92680</v>
      </c>
      <c r="H637" s="164">
        <f>SUM(J468)</f>
        <v>92680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215108.65</v>
      </c>
      <c r="H638" s="164">
        <f>SUM(J472)</f>
        <v>215108.65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56519.35</v>
      </c>
      <c r="H640" s="104">
        <f>SUM(G461)</f>
        <v>56519.35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56519.35</v>
      </c>
      <c r="H642" s="104">
        <f>SUM(I461)</f>
        <v>56519.35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92680</v>
      </c>
      <c r="H645" s="104">
        <f>G408</f>
        <v>92680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92680</v>
      </c>
      <c r="H646" s="104">
        <f>L408</f>
        <v>92680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489211.86000000004</v>
      </c>
      <c r="H647" s="104">
        <f>L208+L226+L244</f>
        <v>489211.86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56458.84</v>
      </c>
      <c r="H648" s="104">
        <f>(J257+J338)-(J255+J336)</f>
        <v>56458.840000000004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224079.56000000003</v>
      </c>
      <c r="H649" s="104">
        <f>H598</f>
        <v>224079.56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78684.42</v>
      </c>
      <c r="H650" s="104">
        <f>I598</f>
        <v>78684.42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186447.87999999998</v>
      </c>
      <c r="H651" s="104">
        <f>J598</f>
        <v>186447.88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28220.02</v>
      </c>
      <c r="H652" s="104">
        <f>K263+K345</f>
        <v>28220.02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92680</v>
      </c>
      <c r="H655" s="104">
        <f>K266+K347</f>
        <v>92680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3974714.8799999994</v>
      </c>
      <c r="G660" s="19">
        <f>(L229+L309+L359)</f>
        <v>981856.17</v>
      </c>
      <c r="H660" s="19">
        <f>(L247+L328+L360)</f>
        <v>2048612.0699999998</v>
      </c>
      <c r="I660" s="19">
        <f>SUM(F660:H660)</f>
        <v>7005183.1199999992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61145.990000000005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61145.990000000005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217631.88000000003</v>
      </c>
      <c r="G662" s="19">
        <f>(L226+L306)-(J226+J306)</f>
        <v>75737.89</v>
      </c>
      <c r="H662" s="19">
        <f>(L244+L325)-(J244+J325)</f>
        <v>179465.86999999997</v>
      </c>
      <c r="I662" s="19">
        <f>SUM(F662:H662)</f>
        <v>472835.64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105967.32</v>
      </c>
      <c r="G663" s="198">
        <f>SUM(G575:G587)+SUM(I602:I604)+L612</f>
        <v>903053</v>
      </c>
      <c r="H663" s="198">
        <f>SUM(H575:H587)+SUM(J602:J604)+L613</f>
        <v>1725438.79</v>
      </c>
      <c r="I663" s="19">
        <f>SUM(F663:H663)</f>
        <v>2734459.1100000003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3589969.6899999995</v>
      </c>
      <c r="G664" s="19">
        <f>G660-SUM(G661:G663)</f>
        <v>3065.2800000000279</v>
      </c>
      <c r="H664" s="19">
        <f>H660-SUM(H661:H663)</f>
        <v>143707.40999999992</v>
      </c>
      <c r="I664" s="19">
        <f>I660-SUM(I661:I663)</f>
        <v>3736742.379999999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6">
        <v>142.13999999999999</v>
      </c>
      <c r="G665" s="247"/>
      <c r="H665" s="247"/>
      <c r="I665" s="19">
        <f>SUM(F665:H665)</f>
        <v>142.13999999999999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25256.58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26289.17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-3065.28</v>
      </c>
      <c r="H669" s="18">
        <v>-143707.41</v>
      </c>
      <c r="I669" s="19">
        <f>SUM(F669:H669)</f>
        <v>-146772.69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25256.58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25256.58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779</v>
      </c>
      <c r="B1" s="231" t="str">
        <f>'DOE25'!A2</f>
        <v>Madison</v>
      </c>
      <c r="C1" s="237" t="s">
        <v>833</v>
      </c>
    </row>
    <row r="2" spans="1:3" x14ac:dyDescent="0.2">
      <c r="A2" s="232"/>
      <c r="B2" s="231"/>
    </row>
    <row r="3" spans="1:3" x14ac:dyDescent="0.2">
      <c r="A3" s="279" t="s">
        <v>778</v>
      </c>
      <c r="B3" s="279"/>
      <c r="C3" s="279"/>
    </row>
    <row r="4" spans="1:3" x14ac:dyDescent="0.2">
      <c r="A4" s="235"/>
      <c r="B4" s="236" t="str">
        <f>'DOE25'!H1</f>
        <v>DOE 25  2017-2018</v>
      </c>
      <c r="C4" s="235"/>
    </row>
    <row r="5" spans="1:3" x14ac:dyDescent="0.2">
      <c r="A5" s="232"/>
      <c r="B5" s="231"/>
    </row>
    <row r="6" spans="1:3" x14ac:dyDescent="0.2">
      <c r="A6" s="226"/>
      <c r="B6" s="278" t="s">
        <v>777</v>
      </c>
      <c r="C6" s="278"/>
    </row>
    <row r="7" spans="1:3" x14ac:dyDescent="0.2">
      <c r="A7" s="238" t="s">
        <v>780</v>
      </c>
      <c r="B7" s="276" t="s">
        <v>776</v>
      </c>
      <c r="C7" s="277"/>
    </row>
    <row r="8" spans="1:3" x14ac:dyDescent="0.2">
      <c r="B8" s="227" t="s">
        <v>54</v>
      </c>
      <c r="C8" s="227" t="s">
        <v>770</v>
      </c>
    </row>
    <row r="9" spans="1:3" x14ac:dyDescent="0.2">
      <c r="A9" s="33" t="s">
        <v>771</v>
      </c>
      <c r="B9" s="228">
        <f>'DOE25'!F197+'DOE25'!F215+'DOE25'!F233+'DOE25'!F276+'DOE25'!F295+'DOE25'!F314</f>
        <v>945331.75</v>
      </c>
      <c r="C9" s="228">
        <f>'DOE25'!G197+'DOE25'!G215+'DOE25'!G233+'DOE25'!G276+'DOE25'!G295+'DOE25'!G314</f>
        <v>426073.74000000005</v>
      </c>
    </row>
    <row r="10" spans="1:3" x14ac:dyDescent="0.2">
      <c r="A10" t="s">
        <v>773</v>
      </c>
      <c r="B10" s="239">
        <v>862467.25</v>
      </c>
      <c r="C10" s="239">
        <v>382014.8</v>
      </c>
    </row>
    <row r="11" spans="1:3" x14ac:dyDescent="0.2">
      <c r="A11" t="s">
        <v>774</v>
      </c>
      <c r="B11" s="239">
        <v>82864.5</v>
      </c>
      <c r="C11" s="239">
        <v>44058.94</v>
      </c>
    </row>
    <row r="12" spans="1:3" x14ac:dyDescent="0.2">
      <c r="A12" t="s">
        <v>775</v>
      </c>
      <c r="B12" s="239"/>
      <c r="C12" s="239"/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945331.75</v>
      </c>
      <c r="C13" s="230">
        <f>SUM(C10:C12)</f>
        <v>426073.74</v>
      </c>
    </row>
    <row r="14" spans="1:3" x14ac:dyDescent="0.2">
      <c r="B14" s="229"/>
      <c r="C14" s="229"/>
    </row>
    <row r="15" spans="1:3" x14ac:dyDescent="0.2">
      <c r="B15" s="278" t="s">
        <v>777</v>
      </c>
      <c r="C15" s="278"/>
    </row>
    <row r="16" spans="1:3" x14ac:dyDescent="0.2">
      <c r="A16" s="238" t="s">
        <v>781</v>
      </c>
      <c r="B16" s="276" t="s">
        <v>701</v>
      </c>
      <c r="C16" s="277"/>
    </row>
    <row r="17" spans="1:3" x14ac:dyDescent="0.2">
      <c r="B17" s="227" t="s">
        <v>54</v>
      </c>
      <c r="C17" s="227" t="s">
        <v>770</v>
      </c>
    </row>
    <row r="18" spans="1:3" x14ac:dyDescent="0.2">
      <c r="A18" s="33" t="s">
        <v>771</v>
      </c>
      <c r="B18" s="228">
        <f>'DOE25'!F198+'DOE25'!F216+'DOE25'!F234+'DOE25'!F277+'DOE25'!F296+'DOE25'!F315</f>
        <v>210996.04</v>
      </c>
      <c r="C18" s="228">
        <f>'DOE25'!G198+'DOE25'!G216+'DOE25'!G234+'DOE25'!G277+'DOE25'!G296+'DOE25'!G315</f>
        <v>94727.93</v>
      </c>
    </row>
    <row r="19" spans="1:3" x14ac:dyDescent="0.2">
      <c r="A19" t="s">
        <v>773</v>
      </c>
      <c r="B19" s="239">
        <v>98268.800000000003</v>
      </c>
      <c r="C19" s="239">
        <v>38867.599999999999</v>
      </c>
    </row>
    <row r="20" spans="1:3" x14ac:dyDescent="0.2">
      <c r="A20" t="s">
        <v>774</v>
      </c>
      <c r="B20" s="239">
        <v>112727.24</v>
      </c>
      <c r="C20" s="239">
        <v>55860.33</v>
      </c>
    </row>
    <row r="21" spans="1:3" x14ac:dyDescent="0.2">
      <c r="A21" t="s">
        <v>775</v>
      </c>
      <c r="B21" s="239"/>
      <c r="C21" s="239"/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210996.04</v>
      </c>
      <c r="C22" s="230">
        <f>SUM(C19:C21)</f>
        <v>94727.93</v>
      </c>
    </row>
    <row r="23" spans="1:3" x14ac:dyDescent="0.2">
      <c r="B23" s="229"/>
      <c r="C23" s="229"/>
    </row>
    <row r="24" spans="1:3" x14ac:dyDescent="0.2">
      <c r="B24" s="278" t="s">
        <v>777</v>
      </c>
      <c r="C24" s="278"/>
    </row>
    <row r="25" spans="1:3" x14ac:dyDescent="0.2">
      <c r="A25" s="238" t="s">
        <v>782</v>
      </c>
      <c r="B25" s="276" t="s">
        <v>702</v>
      </c>
      <c r="C25" s="277"/>
    </row>
    <row r="26" spans="1:3" x14ac:dyDescent="0.2">
      <c r="B26" s="227" t="s">
        <v>54</v>
      </c>
      <c r="C26" s="227" t="s">
        <v>770</v>
      </c>
    </row>
    <row r="27" spans="1:3" x14ac:dyDescent="0.2">
      <c r="A27" s="33" t="s">
        <v>771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773</v>
      </c>
      <c r="B28" s="239"/>
      <c r="C28" s="239"/>
    </row>
    <row r="29" spans="1:3" x14ac:dyDescent="0.2">
      <c r="A29" t="s">
        <v>774</v>
      </c>
      <c r="B29" s="239"/>
      <c r="C29" s="239"/>
    </row>
    <row r="30" spans="1:3" x14ac:dyDescent="0.2">
      <c r="A30" t="s">
        <v>775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8" t="s">
        <v>783</v>
      </c>
      <c r="B34" s="276" t="s">
        <v>703</v>
      </c>
      <c r="C34" s="277"/>
    </row>
    <row r="35" spans="1:3" x14ac:dyDescent="0.2">
      <c r="B35" s="227" t="s">
        <v>54</v>
      </c>
      <c r="C35" s="227" t="s">
        <v>770</v>
      </c>
    </row>
    <row r="36" spans="1:3" x14ac:dyDescent="0.2">
      <c r="A36" s="33" t="s">
        <v>771</v>
      </c>
      <c r="B36" s="234">
        <f>'DOE25'!F200+'DOE25'!F218+'DOE25'!F236+'DOE25'!F279+'DOE25'!F298+'DOE25'!F317</f>
        <v>55760.87</v>
      </c>
      <c r="C36" s="234">
        <f>'DOE25'!G200+'DOE25'!G218+'DOE25'!G236+'DOE25'!G279+'DOE25'!G298+'DOE25'!G317</f>
        <v>5472.12</v>
      </c>
    </row>
    <row r="37" spans="1:3" x14ac:dyDescent="0.2">
      <c r="A37" t="s">
        <v>773</v>
      </c>
      <c r="B37" s="239">
        <v>55760.87</v>
      </c>
      <c r="C37" s="239">
        <v>5472.12</v>
      </c>
    </row>
    <row r="38" spans="1:3" x14ac:dyDescent="0.2">
      <c r="A38" t="s">
        <v>774</v>
      </c>
      <c r="B38" s="239"/>
      <c r="C38" s="239"/>
    </row>
    <row r="39" spans="1:3" x14ac:dyDescent="0.2">
      <c r="A39" t="s">
        <v>775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55760.87</v>
      </c>
      <c r="C40" s="230">
        <f>SUM(C37:C39)</f>
        <v>5472.12</v>
      </c>
    </row>
    <row r="41" spans="1:3" x14ac:dyDescent="0.2">
      <c r="B41" s="229"/>
      <c r="C41" s="229"/>
    </row>
    <row r="42" spans="1:3" x14ac:dyDescent="0.2">
      <c r="A42" s="33" t="s">
        <v>831</v>
      </c>
      <c r="B42" s="229"/>
      <c r="C42" s="229"/>
    </row>
    <row r="43" spans="1:3" x14ac:dyDescent="0.2">
      <c r="A43" t="s">
        <v>835</v>
      </c>
      <c r="B43" s="229"/>
      <c r="C43" s="229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3" t="s">
        <v>772</v>
      </c>
    </row>
    <row r="49" spans="1:1" x14ac:dyDescent="0.2">
      <c r="A49" s="267" t="s">
        <v>838</v>
      </c>
    </row>
    <row r="50" spans="1:1" x14ac:dyDescent="0.2">
      <c r="A50" s="267" t="s">
        <v>832</v>
      </c>
    </row>
    <row r="51" spans="1:1" x14ac:dyDescent="0.2">
      <c r="A51" s="267" t="s">
        <v>839</v>
      </c>
    </row>
    <row r="52" spans="1:1" x14ac:dyDescent="0.2">
      <c r="A52" s="268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0"/>
    </row>
    <row r="2" spans="1:9" x14ac:dyDescent="0.2">
      <c r="A2" s="33" t="s">
        <v>711</v>
      </c>
      <c r="B2" s="264" t="str">
        <f>'DOE25'!A2</f>
        <v>Madison</v>
      </c>
      <c r="C2" s="180"/>
      <c r="D2" s="180" t="s">
        <v>786</v>
      </c>
      <c r="E2" s="180" t="s">
        <v>788</v>
      </c>
      <c r="F2" s="280" t="s">
        <v>815</v>
      </c>
      <c r="G2" s="281"/>
      <c r="H2" s="282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787</v>
      </c>
      <c r="E3" s="180" t="s">
        <v>789</v>
      </c>
      <c r="F3" s="240" t="s">
        <v>829</v>
      </c>
      <c r="G3" s="216" t="s">
        <v>59</v>
      </c>
      <c r="H3" s="241" t="s">
        <v>792</v>
      </c>
    </row>
    <row r="4" spans="1:9" x14ac:dyDescent="0.2">
      <c r="A4" s="250" t="s">
        <v>794</v>
      </c>
      <c r="B4" s="250" t="s">
        <v>810</v>
      </c>
      <c r="C4" s="250" t="s">
        <v>785</v>
      </c>
      <c r="D4" s="250" t="s">
        <v>811</v>
      </c>
      <c r="E4" s="250" t="s">
        <v>811</v>
      </c>
      <c r="F4" s="249" t="s">
        <v>791</v>
      </c>
      <c r="G4" s="250" t="s">
        <v>805</v>
      </c>
      <c r="H4" s="251" t="s">
        <v>793</v>
      </c>
    </row>
    <row r="5" spans="1:9" x14ac:dyDescent="0.2">
      <c r="A5" s="32">
        <v>1000</v>
      </c>
      <c r="B5" t="s">
        <v>195</v>
      </c>
      <c r="C5" s="244">
        <f t="shared" ref="C5:C19" si="0">SUM(D5:H5)</f>
        <v>4696621.9000000004</v>
      </c>
      <c r="D5" s="20">
        <f>SUM('DOE25'!L197:L200)+SUM('DOE25'!L215:L218)+SUM('DOE25'!L233:L236)-F5-G5</f>
        <v>4678834.2600000007</v>
      </c>
      <c r="E5" s="242"/>
      <c r="F5" s="254">
        <f>SUM('DOE25'!J197:J200)+SUM('DOE25'!J215:J218)+SUM('DOE25'!J233:J236)</f>
        <v>17647.64</v>
      </c>
      <c r="G5" s="53">
        <f>SUM('DOE25'!K197:K200)+SUM('DOE25'!K215:K218)+SUM('DOE25'!K233:K236)</f>
        <v>140</v>
      </c>
      <c r="H5" s="258"/>
    </row>
    <row r="6" spans="1:9" x14ac:dyDescent="0.2">
      <c r="A6" s="32">
        <v>2100</v>
      </c>
      <c r="B6" t="s">
        <v>795</v>
      </c>
      <c r="C6" s="244">
        <f t="shared" si="0"/>
        <v>299330.75</v>
      </c>
      <c r="D6" s="20">
        <f>'DOE25'!L202+'DOE25'!L220+'DOE25'!L238-F6-G6</f>
        <v>298791.75</v>
      </c>
      <c r="E6" s="242"/>
      <c r="F6" s="254">
        <f>'DOE25'!J202+'DOE25'!J220+'DOE25'!J238</f>
        <v>0</v>
      </c>
      <c r="G6" s="53">
        <f>'DOE25'!K202+'DOE25'!K220+'DOE25'!K238</f>
        <v>539</v>
      </c>
      <c r="H6" s="258"/>
    </row>
    <row r="7" spans="1:9" x14ac:dyDescent="0.2">
      <c r="A7" s="32">
        <v>2200</v>
      </c>
      <c r="B7" t="s">
        <v>828</v>
      </c>
      <c r="C7" s="244">
        <f t="shared" si="0"/>
        <v>105220.76000000001</v>
      </c>
      <c r="D7" s="20">
        <f>'DOE25'!L203+'DOE25'!L221+'DOE25'!L239-F7-G7</f>
        <v>105220.76000000001</v>
      </c>
      <c r="E7" s="242"/>
      <c r="F7" s="254">
        <f>'DOE25'!J203+'DOE25'!J221+'DOE25'!J239</f>
        <v>0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796</v>
      </c>
      <c r="C8" s="244">
        <f t="shared" si="0"/>
        <v>170824.78999999998</v>
      </c>
      <c r="D8" s="242"/>
      <c r="E8" s="20">
        <f>'DOE25'!L204+'DOE25'!L222+'DOE25'!L240-F8-G8-D9-D11</f>
        <v>167753.59999999998</v>
      </c>
      <c r="F8" s="254">
        <f>'DOE25'!J204+'DOE25'!J222+'DOE25'!J240</f>
        <v>0</v>
      </c>
      <c r="G8" s="53">
        <f>'DOE25'!K204+'DOE25'!K222+'DOE25'!K240</f>
        <v>3071.19</v>
      </c>
      <c r="H8" s="258"/>
    </row>
    <row r="9" spans="1:9" x14ac:dyDescent="0.2">
      <c r="A9" s="32">
        <v>2310</v>
      </c>
      <c r="B9" t="s">
        <v>812</v>
      </c>
      <c r="C9" s="244">
        <f t="shared" si="0"/>
        <v>27677.59</v>
      </c>
      <c r="D9" s="243">
        <v>27677.59</v>
      </c>
      <c r="E9" s="242"/>
      <c r="F9" s="257"/>
      <c r="G9" s="255"/>
      <c r="H9" s="258"/>
    </row>
    <row r="10" spans="1:9" x14ac:dyDescent="0.2">
      <c r="A10" s="32">
        <v>2317</v>
      </c>
      <c r="B10" t="s">
        <v>813</v>
      </c>
      <c r="C10" s="244">
        <f t="shared" si="0"/>
        <v>8000</v>
      </c>
      <c r="D10" s="242"/>
      <c r="E10" s="243">
        <v>8000</v>
      </c>
      <c r="F10" s="257"/>
      <c r="G10" s="255"/>
      <c r="H10" s="258"/>
    </row>
    <row r="11" spans="1:9" x14ac:dyDescent="0.2">
      <c r="A11" s="32">
        <v>2321</v>
      </c>
      <c r="B11" t="s">
        <v>825</v>
      </c>
      <c r="C11" s="244">
        <f t="shared" si="0"/>
        <v>76903.210000000006</v>
      </c>
      <c r="D11" s="243">
        <v>76903.210000000006</v>
      </c>
      <c r="E11" s="242"/>
      <c r="F11" s="257"/>
      <c r="G11" s="255"/>
      <c r="H11" s="258"/>
    </row>
    <row r="12" spans="1:9" x14ac:dyDescent="0.2">
      <c r="A12" s="32">
        <v>2400</v>
      </c>
      <c r="B12" t="s">
        <v>709</v>
      </c>
      <c r="C12" s="244">
        <f t="shared" si="0"/>
        <v>199033.05</v>
      </c>
      <c r="D12" s="20">
        <f>'DOE25'!L205+'DOE25'!L223+'DOE25'!L241-F12-G12</f>
        <v>198838.62</v>
      </c>
      <c r="E12" s="242"/>
      <c r="F12" s="254">
        <f>'DOE25'!J205+'DOE25'!J223+'DOE25'!J241</f>
        <v>94.43</v>
      </c>
      <c r="G12" s="53">
        <f>'DOE25'!K205+'DOE25'!K223+'DOE25'!K241</f>
        <v>100</v>
      </c>
      <c r="H12" s="258"/>
    </row>
    <row r="13" spans="1:9" x14ac:dyDescent="0.2">
      <c r="A13" s="32">
        <v>2500</v>
      </c>
      <c r="B13" t="s">
        <v>797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826</v>
      </c>
      <c r="C14" s="244">
        <f t="shared" si="0"/>
        <v>669714.57999999996</v>
      </c>
      <c r="D14" s="20">
        <f>'DOE25'!L207+'DOE25'!L225+'DOE25'!L243-F14-G14</f>
        <v>663807.51</v>
      </c>
      <c r="E14" s="242"/>
      <c r="F14" s="254">
        <f>'DOE25'!J207+'DOE25'!J225+'DOE25'!J243</f>
        <v>5907.07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798</v>
      </c>
      <c r="C15" s="244">
        <f t="shared" si="0"/>
        <v>489211.86</v>
      </c>
      <c r="D15" s="20">
        <f>'DOE25'!L208+'DOE25'!L226+'DOE25'!L244-F15-G15</f>
        <v>470892.1</v>
      </c>
      <c r="E15" s="242"/>
      <c r="F15" s="254">
        <f>'DOE25'!J208+'DOE25'!J226+'DOE25'!J244</f>
        <v>18319.760000000002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799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800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801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802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790</v>
      </c>
      <c r="F21" s="259"/>
      <c r="G21" s="52"/>
      <c r="H21" s="260"/>
    </row>
    <row r="22" spans="1:8" x14ac:dyDescent="0.2">
      <c r="A22" s="32">
        <v>4000</v>
      </c>
      <c r="B22" t="s">
        <v>827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461</v>
      </c>
      <c r="F24" s="259"/>
      <c r="G24" s="52"/>
      <c r="H24" s="260"/>
    </row>
    <row r="25" spans="1:8" x14ac:dyDescent="0.2">
      <c r="A25" s="32" t="s">
        <v>803</v>
      </c>
      <c r="B25" t="s">
        <v>804</v>
      </c>
      <c r="C25" s="244">
        <f>SUM(D25:H25)</f>
        <v>0</v>
      </c>
      <c r="D25" s="242"/>
      <c r="E25" s="242"/>
      <c r="F25" s="257"/>
      <c r="G25" s="255"/>
      <c r="H25" s="256">
        <f>'DOE25'!L260+'DOE25'!L261+'DOE25'!L341+'DOE25'!L342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806</v>
      </c>
      <c r="F27" s="259"/>
      <c r="G27" s="52"/>
      <c r="H27" s="260"/>
    </row>
    <row r="28" spans="1:8" x14ac:dyDescent="0.2">
      <c r="A28" s="32">
        <v>3100</v>
      </c>
      <c r="B28" t="s">
        <v>819</v>
      </c>
      <c r="F28" s="259"/>
      <c r="G28" s="52"/>
      <c r="H28" s="260"/>
    </row>
    <row r="29" spans="1:8" x14ac:dyDescent="0.2">
      <c r="A29" s="32"/>
      <c r="B29" t="s">
        <v>807</v>
      </c>
      <c r="C29" s="244">
        <f>SUM(D29:H29)</f>
        <v>103657.51999999999</v>
      </c>
      <c r="D29" s="20">
        <f>'DOE25'!L358+'DOE25'!L359+'DOE25'!L360-'DOE25'!I367-F29-G29</f>
        <v>101657.51999999999</v>
      </c>
      <c r="E29" s="242"/>
      <c r="F29" s="254">
        <f>'DOE25'!J358+'DOE25'!J359+'DOE25'!J360</f>
        <v>2000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821</v>
      </c>
      <c r="B31" t="s">
        <v>820</v>
      </c>
      <c r="C31" s="244">
        <f>SUM(D31:H31)</f>
        <v>124040.54</v>
      </c>
      <c r="D31" s="20">
        <f>'DOE25'!L290+'DOE25'!L309+'DOE25'!L328+'DOE25'!L333+'DOE25'!L334+'DOE25'!L335-F31-G31</f>
        <v>108423.56999999999</v>
      </c>
      <c r="E31" s="242"/>
      <c r="F31" s="254">
        <f>'DOE25'!J290+'DOE25'!J309+'DOE25'!J328+'DOE25'!J333+'DOE25'!J334+'DOE25'!J335</f>
        <v>14489.94</v>
      </c>
      <c r="G31" s="53">
        <f>'DOE25'!K290+'DOE25'!K309+'DOE25'!K328+'DOE25'!K333+'DOE25'!K334+'DOE25'!K335</f>
        <v>1127.03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808</v>
      </c>
      <c r="D33" s="245">
        <f>SUM(D5:D31)</f>
        <v>6731046.8899999997</v>
      </c>
      <c r="E33" s="245">
        <f>SUM(E5:E31)</f>
        <v>175753.59999999998</v>
      </c>
      <c r="F33" s="245">
        <f>SUM(F5:F31)</f>
        <v>58458.840000000004</v>
      </c>
      <c r="G33" s="245">
        <f>SUM(G5:G31)</f>
        <v>4977.22</v>
      </c>
      <c r="H33" s="245">
        <f>SUM(H5:H31)</f>
        <v>0</v>
      </c>
    </row>
    <row r="35" spans="2:8" ht="12" thickBot="1" x14ac:dyDescent="0.25">
      <c r="B35" s="252" t="s">
        <v>841</v>
      </c>
      <c r="D35" s="253">
        <f>E33</f>
        <v>175753.59999999998</v>
      </c>
      <c r="E35" s="248"/>
    </row>
    <row r="36" spans="2:8" ht="12" thickTop="1" x14ac:dyDescent="0.2">
      <c r="B36" t="s">
        <v>809</v>
      </c>
      <c r="D36" s="20">
        <f>D33</f>
        <v>6731046.8899999997</v>
      </c>
    </row>
    <row r="38" spans="2:8" x14ac:dyDescent="0.2">
      <c r="B38" s="186" t="s">
        <v>908</v>
      </c>
      <c r="C38" s="265"/>
      <c r="D38" s="266"/>
    </row>
    <row r="39" spans="2:8" x14ac:dyDescent="0.2">
      <c r="B39" t="s">
        <v>818</v>
      </c>
      <c r="D39" s="180" t="str">
        <f>IF(E10&gt;0,"Y","N")</f>
        <v>Y</v>
      </c>
    </row>
    <row r="41" spans="2:8" x14ac:dyDescent="0.2">
      <c r="B41" s="263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0" sqref="C1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36691.279999999999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56519.35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92410.53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-16259.72</v>
      </c>
      <c r="D11" s="95">
        <f>'DOE25'!G12</f>
        <v>-9198.8799999999992</v>
      </c>
      <c r="E11" s="95">
        <f>'DOE25'!H12</f>
        <v>25458.6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29949.119999999999</v>
      </c>
      <c r="D12" s="95">
        <f>'DOE25'!G13</f>
        <v>10149.82</v>
      </c>
      <c r="E12" s="95">
        <f>'DOE25'!H13</f>
        <v>12729.73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16334.71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159125.91999999998</v>
      </c>
      <c r="D18" s="41">
        <f>SUM(D8:D17)</f>
        <v>950.94000000000051</v>
      </c>
      <c r="E18" s="41">
        <f>SUM(E8:E17)</f>
        <v>38188.33</v>
      </c>
      <c r="F18" s="41">
        <f>SUM(F8:F17)</f>
        <v>0</v>
      </c>
      <c r="G18" s="41">
        <f>SUM(G8:G17)</f>
        <v>56519.35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313.55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159125.92000000001</v>
      </c>
      <c r="D23" s="95">
        <f>'DOE25'!G24</f>
        <v>950.94</v>
      </c>
      <c r="E23" s="95">
        <f>'DOE25'!H24</f>
        <v>197.87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37676.910000000003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159125.92000000001</v>
      </c>
      <c r="D31" s="41">
        <f>SUM(D21:D30)</f>
        <v>950.94</v>
      </c>
      <c r="E31" s="41">
        <f>SUM(E21:E30)</f>
        <v>38188.33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56519.35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56519.35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159125.92000000001</v>
      </c>
      <c r="D51" s="41">
        <f>D50+D31</f>
        <v>950.94</v>
      </c>
      <c r="E51" s="41">
        <f>E50+E31</f>
        <v>38188.33</v>
      </c>
      <c r="F51" s="41">
        <f>F50+F31</f>
        <v>0</v>
      </c>
      <c r="G51" s="41">
        <f>G50+G31</f>
        <v>56519.35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4642722.53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31.81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23083.59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31332.43</v>
      </c>
      <c r="D61" s="95">
        <f>SUM('DOE25'!G98:G110)</f>
        <v>38062.400000000001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31364.240000000002</v>
      </c>
      <c r="D62" s="130">
        <f>SUM(D57:D61)</f>
        <v>61145.990000000005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4674086.7700000005</v>
      </c>
      <c r="D63" s="22">
        <f>D56+D62</f>
        <v>61145.990000000005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547191.42000000004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1038479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1587063.96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138984.95999999999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144245.29999999999</v>
      </c>
      <c r="D77" s="95">
        <f>SUM('DOE25'!G131:G135)</f>
        <v>10372.370000000001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283230.26</v>
      </c>
      <c r="D78" s="130">
        <f>SUM(D72:D77)</f>
        <v>10372.370000000001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1870294.22</v>
      </c>
      <c r="D81" s="130">
        <f>SUM(D79:D80)+D78+D70</f>
        <v>10372.370000000001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73372.92</v>
      </c>
      <c r="D88" s="95">
        <f>SUM('DOE25'!G153:G161)</f>
        <v>46865.710000000006</v>
      </c>
      <c r="E88" s="95">
        <f>SUM('DOE25'!H153:H161)</f>
        <v>124040.54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73372.92</v>
      </c>
      <c r="D91" s="131">
        <f>SUM(D85:D90)</f>
        <v>46865.710000000006</v>
      </c>
      <c r="E91" s="131">
        <f>SUM(E85:E90)</f>
        <v>124040.54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28220.02</v>
      </c>
      <c r="E96" s="95">
        <f>'DOE25'!H179</f>
        <v>0</v>
      </c>
      <c r="F96" s="95">
        <f>'DOE25'!I179</f>
        <v>0</v>
      </c>
      <c r="G96" s="95">
        <f>'DOE25'!J179</f>
        <v>92680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215108.65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215108.65</v>
      </c>
      <c r="D103" s="86">
        <f>SUM(D93:D102)</f>
        <v>28220.02</v>
      </c>
      <c r="E103" s="86">
        <f>SUM(E93:E102)</f>
        <v>0</v>
      </c>
      <c r="F103" s="86">
        <f>SUM(F93:F102)</f>
        <v>0</v>
      </c>
      <c r="G103" s="86">
        <f>SUM(G93:G102)</f>
        <v>92680</v>
      </c>
    </row>
    <row r="104" spans="1:7" ht="12.75" thickTop="1" thickBot="1" x14ac:dyDescent="0.25">
      <c r="A104" s="33" t="s">
        <v>759</v>
      </c>
      <c r="C104" s="86">
        <f>C63+C81+C91+C103</f>
        <v>6832862.5600000005</v>
      </c>
      <c r="D104" s="86">
        <f>D63+D81+D91+D103</f>
        <v>146604.09</v>
      </c>
      <c r="E104" s="86">
        <f>E63+E81+E91+E103</f>
        <v>124040.54</v>
      </c>
      <c r="F104" s="86">
        <f>F63+F81+F91+F103</f>
        <v>0</v>
      </c>
      <c r="G104" s="86">
        <f>G63+G81+G103</f>
        <v>92680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3696756.23</v>
      </c>
      <c r="D109" s="24" t="s">
        <v>286</v>
      </c>
      <c r="E109" s="95">
        <f>('DOE25'!L276)+('DOE25'!L295)+('DOE25'!L314)</f>
        <v>64306.38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944187.99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55677.68</v>
      </c>
      <c r="D112" s="24" t="s">
        <v>286</v>
      </c>
      <c r="E112" s="95">
        <f>+('DOE25'!L279)+('DOE25'!L298)+('DOE25'!L317)</f>
        <v>22808.46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4696621.8999999994</v>
      </c>
      <c r="D115" s="86">
        <f>SUM(D109:D114)</f>
        <v>0</v>
      </c>
      <c r="E115" s="86">
        <f>SUM(E109:E114)</f>
        <v>87114.84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299330.75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105220.76000000001</v>
      </c>
      <c r="D119" s="24" t="s">
        <v>286</v>
      </c>
      <c r="E119" s="95">
        <f>+('DOE25'!L282)+('DOE25'!L301)+('DOE25'!L320)</f>
        <v>33855.129999999997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275405.58999999997</v>
      </c>
      <c r="D120" s="24" t="s">
        <v>286</v>
      </c>
      <c r="E120" s="95">
        <f>+('DOE25'!L283)+('DOE25'!L302)+('DOE25'!L321)</f>
        <v>1127.03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199033.05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669714.57999999996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489211.86</v>
      </c>
      <c r="D124" s="24" t="s">
        <v>286</v>
      </c>
      <c r="E124" s="95">
        <f>+('DOE25'!L287)+('DOE25'!L306)+('DOE25'!L325)</f>
        <v>1943.54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146604.09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2037916.5899999999</v>
      </c>
      <c r="D128" s="86">
        <f>SUM(D118:D127)</f>
        <v>146604.09</v>
      </c>
      <c r="E128" s="86">
        <f>SUM(E118:E127)</f>
        <v>36925.699999999997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215108.65</v>
      </c>
    </row>
    <row r="135" spans="1:7" x14ac:dyDescent="0.2">
      <c r="A135" t="s">
        <v>233</v>
      </c>
      <c r="B135" s="32" t="s">
        <v>234</v>
      </c>
      <c r="C135" s="95">
        <f>'DOE25'!L263</f>
        <v>28220.02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92680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120900.02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215108.65</v>
      </c>
    </row>
    <row r="145" spans="1:9" ht="12.75" thickTop="1" thickBot="1" x14ac:dyDescent="0.25">
      <c r="A145" s="33" t="s">
        <v>244</v>
      </c>
      <c r="C145" s="86">
        <f>(C115+C128+C144)</f>
        <v>6855438.5099999988</v>
      </c>
      <c r="D145" s="86">
        <f>(D115+D128+D144)</f>
        <v>146604.09</v>
      </c>
      <c r="E145" s="86">
        <f>(E115+E128+E144)</f>
        <v>124040.54</v>
      </c>
      <c r="F145" s="86">
        <f>(F115+F128+F144)</f>
        <v>0</v>
      </c>
      <c r="G145" s="86">
        <f>(G115+G128+G144)</f>
        <v>215108.65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6" t="s">
        <v>711</v>
      </c>
      <c r="B2" s="185" t="str">
        <f>'DOE25'!A2</f>
        <v>Madison</v>
      </c>
    </row>
    <row r="3" spans="1:4" x14ac:dyDescent="0.2">
      <c r="B3" s="187" t="s">
        <v>909</v>
      </c>
    </row>
    <row r="4" spans="1:4" x14ac:dyDescent="0.2">
      <c r="B4" t="s">
        <v>61</v>
      </c>
      <c r="C4" s="178">
        <f>IF('DOE25'!F665+'DOE25'!F670=0,0,ROUND('DOE25'!F672,0))</f>
        <v>25257</v>
      </c>
    </row>
    <row r="5" spans="1:4" x14ac:dyDescent="0.2">
      <c r="B5" t="s">
        <v>698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699</v>
      </c>
      <c r="C7" s="178">
        <f>IF('DOE25'!I665+'DOE25'!I670=0,0,ROUND('DOE25'!I672,0))</f>
        <v>25257</v>
      </c>
    </row>
    <row r="9" spans="1:4" x14ac:dyDescent="0.2">
      <c r="A9" s="186" t="s">
        <v>94</v>
      </c>
      <c r="B9" s="187" t="s">
        <v>910</v>
      </c>
      <c r="C9" s="180" t="s">
        <v>718</v>
      </c>
      <c r="D9" s="180" t="s">
        <v>719</v>
      </c>
    </row>
    <row r="10" spans="1:4" x14ac:dyDescent="0.2">
      <c r="A10">
        <v>1100</v>
      </c>
      <c r="B10" t="s">
        <v>700</v>
      </c>
      <c r="C10" s="178">
        <f>ROUND('DOE25'!L197+'DOE25'!L215+'DOE25'!L233+'DOE25'!L276+'DOE25'!L295+'DOE25'!L314,0)</f>
        <v>3761063</v>
      </c>
      <c r="D10" s="181">
        <f>ROUND((C10/$C$28)*100,1)</f>
        <v>54.2</v>
      </c>
    </row>
    <row r="11" spans="1:4" x14ac:dyDescent="0.2">
      <c r="A11">
        <v>1200</v>
      </c>
      <c r="B11" t="s">
        <v>701</v>
      </c>
      <c r="C11" s="178">
        <f>ROUND('DOE25'!L198+'DOE25'!L216+'DOE25'!L234+'DOE25'!L277+'DOE25'!L296+'DOE25'!L315,0)</f>
        <v>944188</v>
      </c>
      <c r="D11" s="181">
        <f>ROUND((C11/$C$28)*100,1)</f>
        <v>13.6</v>
      </c>
    </row>
    <row r="12" spans="1:4" x14ac:dyDescent="0.2">
      <c r="A12">
        <v>1300</v>
      </c>
      <c r="B12" t="s">
        <v>702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703</v>
      </c>
      <c r="C13" s="178">
        <f>ROUND('DOE25'!L200+'DOE25'!L218+'DOE25'!L236+'DOE25'!L279+'DOE25'!L298+'DOE25'!L317,0)</f>
        <v>78486</v>
      </c>
      <c r="D13" s="181">
        <f>ROUND((C13/$C$28)*100,1)</f>
        <v>1.1000000000000001</v>
      </c>
    </row>
    <row r="14" spans="1:4" x14ac:dyDescent="0.2">
      <c r="D14" s="181"/>
    </row>
    <row r="15" spans="1:4" x14ac:dyDescent="0.2">
      <c r="A15">
        <v>2100</v>
      </c>
      <c r="B15" t="s">
        <v>704</v>
      </c>
      <c r="C15" s="178">
        <f>ROUND('DOE25'!L202+'DOE25'!L220+'DOE25'!L238+'DOE25'!L281+'DOE25'!L300+'DOE25'!L319,0)</f>
        <v>299331</v>
      </c>
      <c r="D15" s="181">
        <f t="shared" ref="D15:D27" si="0">ROUND((C15/$C$28)*100,1)</f>
        <v>4.3</v>
      </c>
    </row>
    <row r="16" spans="1:4" x14ac:dyDescent="0.2">
      <c r="A16">
        <v>2200</v>
      </c>
      <c r="B16" t="s">
        <v>705</v>
      </c>
      <c r="C16" s="178">
        <f>ROUND('DOE25'!L203+'DOE25'!L221+'DOE25'!L239+'DOE25'!L282+'DOE25'!L301+'DOE25'!L320,0)</f>
        <v>139076</v>
      </c>
      <c r="D16" s="181">
        <f t="shared" si="0"/>
        <v>2</v>
      </c>
    </row>
    <row r="17" spans="1:4" x14ac:dyDescent="0.2">
      <c r="A17" s="182" t="s">
        <v>721</v>
      </c>
      <c r="B17" t="s">
        <v>736</v>
      </c>
      <c r="C17" s="178">
        <f>ROUND('DOE25'!L204+'DOE25'!L209+'DOE25'!L222+'DOE25'!L227+'DOE25'!L240+'DOE25'!L245+'DOE25'!L283+'DOE25'!L288+'DOE25'!L302+'DOE25'!L307+'DOE25'!L321+'DOE25'!L326,0)</f>
        <v>276533</v>
      </c>
      <c r="D17" s="181">
        <f t="shared" si="0"/>
        <v>4</v>
      </c>
    </row>
    <row r="18" spans="1:4" x14ac:dyDescent="0.2">
      <c r="A18">
        <v>2400</v>
      </c>
      <c r="B18" t="s">
        <v>709</v>
      </c>
      <c r="C18" s="178">
        <f>ROUND('DOE25'!L205+'DOE25'!L223+'DOE25'!L241+'DOE25'!L284+'DOE25'!L303+'DOE25'!L322,0)</f>
        <v>199033</v>
      </c>
      <c r="D18" s="181">
        <f t="shared" si="0"/>
        <v>2.9</v>
      </c>
    </row>
    <row r="19" spans="1:4" x14ac:dyDescent="0.2">
      <c r="A19">
        <v>2500</v>
      </c>
      <c r="B19" t="s">
        <v>706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707</v>
      </c>
      <c r="C20" s="178">
        <f>ROUND('DOE25'!L207+'DOE25'!L225+'DOE25'!L243+'DOE25'!L286+'DOE25'!L305+'DOE25'!L324,0)</f>
        <v>669715</v>
      </c>
      <c r="D20" s="181">
        <f t="shared" si="0"/>
        <v>9.6</v>
      </c>
    </row>
    <row r="21" spans="1:4" x14ac:dyDescent="0.2">
      <c r="A21">
        <v>2700</v>
      </c>
      <c r="B21" t="s">
        <v>708</v>
      </c>
      <c r="C21" s="178">
        <f>ROUND('DOE25'!L208+'DOE25'!L226+'DOE25'!L244+'DOE25'!L287+'DOE25'!L306+'DOE25'!L325,0)</f>
        <v>491155</v>
      </c>
      <c r="D21" s="181">
        <f t="shared" si="0"/>
        <v>7.1</v>
      </c>
    </row>
    <row r="22" spans="1:4" x14ac:dyDescent="0.2">
      <c r="A22">
        <v>2900</v>
      </c>
      <c r="B22" t="s">
        <v>710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712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720</v>
      </c>
      <c r="B24" t="s">
        <v>713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714</v>
      </c>
      <c r="C25" s="178">
        <f>ROUND('DOE25'!L261+'DOE25'!L342,0)</f>
        <v>0</v>
      </c>
      <c r="D25" s="181">
        <f t="shared" si="0"/>
        <v>0</v>
      </c>
    </row>
    <row r="26" spans="1:4" x14ac:dyDescent="0.2">
      <c r="A26" s="182" t="s">
        <v>715</v>
      </c>
      <c r="B26" t="s">
        <v>716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85458.01</v>
      </c>
      <c r="D27" s="181">
        <f t="shared" si="0"/>
        <v>1.2</v>
      </c>
    </row>
    <row r="28" spans="1:4" x14ac:dyDescent="0.2">
      <c r="B28" s="186" t="s">
        <v>717</v>
      </c>
      <c r="C28" s="179">
        <f>SUM(C10:C27)</f>
        <v>6944038.0099999998</v>
      </c>
      <c r="D28" s="183">
        <f>ROUND(SUM(D10:D27),0)</f>
        <v>100</v>
      </c>
    </row>
    <row r="29" spans="1:4" x14ac:dyDescent="0.2">
      <c r="A29">
        <v>4000</v>
      </c>
      <c r="B29" t="s">
        <v>722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723</v>
      </c>
      <c r="C30" s="179">
        <f>SUM(C28:C29)</f>
        <v>6944038.0099999998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724</v>
      </c>
      <c r="C32" s="179">
        <f>ROUND('DOE25'!L260+'DOE25'!L341,0)</f>
        <v>0</v>
      </c>
    </row>
    <row r="34" spans="1:4" x14ac:dyDescent="0.2">
      <c r="A34" s="186" t="s">
        <v>94</v>
      </c>
      <c r="B34" s="187" t="s">
        <v>911</v>
      </c>
      <c r="C34" s="180" t="s">
        <v>718</v>
      </c>
      <c r="D34" s="180" t="s">
        <v>719</v>
      </c>
    </row>
    <row r="35" spans="1:4" x14ac:dyDescent="0.2">
      <c r="A35">
        <v>1100</v>
      </c>
      <c r="B35" s="184" t="s">
        <v>725</v>
      </c>
      <c r="C35" s="178">
        <f>ROUND('DOE25'!F60+'DOE25'!G60+'DOE25'!H60+'DOE25'!I60+'DOE25'!J60,0)</f>
        <v>4642723</v>
      </c>
      <c r="D35" s="181">
        <f t="shared" ref="D35:D40" si="1">ROUND((C35/$C$41)*100,1)</f>
        <v>68.3</v>
      </c>
    </row>
    <row r="36" spans="1:4" x14ac:dyDescent="0.2">
      <c r="B36" s="184" t="s">
        <v>737</v>
      </c>
      <c r="C36" s="178">
        <f>SUM('DOE25'!F112:J112)-SUM('DOE25'!G97:G110)+('DOE25'!F174+'DOE25'!F175+'DOE25'!I174+'DOE25'!I175)-C35</f>
        <v>31363.770000000484</v>
      </c>
      <c r="D36" s="181">
        <f t="shared" si="1"/>
        <v>0.5</v>
      </c>
    </row>
    <row r="37" spans="1:4" x14ac:dyDescent="0.2">
      <c r="A37" s="182" t="s">
        <v>845</v>
      </c>
      <c r="B37" s="184" t="s">
        <v>726</v>
      </c>
      <c r="C37" s="178">
        <f>ROUND('DOE25'!F117+'DOE25'!F118,0)</f>
        <v>1585670</v>
      </c>
      <c r="D37" s="181">
        <f t="shared" si="1"/>
        <v>23.3</v>
      </c>
    </row>
    <row r="38" spans="1:4" x14ac:dyDescent="0.2">
      <c r="A38" s="182" t="s">
        <v>732</v>
      </c>
      <c r="B38" s="184" t="s">
        <v>727</v>
      </c>
      <c r="C38" s="178">
        <f>ROUND(SUM('DOE25'!F140:J140)-SUM('DOE25'!F117:F119),0)</f>
        <v>294996</v>
      </c>
      <c r="D38" s="181">
        <f t="shared" si="1"/>
        <v>4.3</v>
      </c>
    </row>
    <row r="39" spans="1:4" x14ac:dyDescent="0.2">
      <c r="A39">
        <v>4000</v>
      </c>
      <c r="B39" s="184" t="s">
        <v>728</v>
      </c>
      <c r="C39" s="178">
        <f>ROUND('DOE25'!F169+'DOE25'!G169+'DOE25'!H169+'DOE25'!I169,0)</f>
        <v>244279</v>
      </c>
      <c r="D39" s="181">
        <f t="shared" si="1"/>
        <v>3.6</v>
      </c>
    </row>
    <row r="40" spans="1:4" x14ac:dyDescent="0.2">
      <c r="A40" s="182" t="s">
        <v>733</v>
      </c>
      <c r="B40" s="184" t="s">
        <v>729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730</v>
      </c>
      <c r="C41" s="179">
        <f>SUM(C35:C40)</f>
        <v>6799031.7700000005</v>
      </c>
      <c r="D41" s="183">
        <f>SUM(D35:D40)</f>
        <v>99.999999999999986</v>
      </c>
    </row>
    <row r="42" spans="1:4" x14ac:dyDescent="0.2">
      <c r="A42" s="182" t="s">
        <v>735</v>
      </c>
      <c r="B42" s="184" t="s">
        <v>731</v>
      </c>
      <c r="C42" s="178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2"/>
      <c r="K1" s="212"/>
      <c r="L1" s="212"/>
      <c r="M1" s="213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Madison</v>
      </c>
      <c r="G2" s="300"/>
      <c r="H2" s="300"/>
      <c r="I2" s="300"/>
      <c r="J2" s="52"/>
      <c r="K2" s="52"/>
      <c r="L2" s="52"/>
      <c r="M2" s="214"/>
    </row>
    <row r="3" spans="1:26" x14ac:dyDescent="0.2">
      <c r="A3" s="215" t="s">
        <v>762</v>
      </c>
      <c r="B3" s="216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7"/>
      <c r="B4" s="218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0"/>
      <c r="O29" s="210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6"/>
      <c r="AB29" s="206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6"/>
      <c r="AO29" s="206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6"/>
      <c r="BB29" s="206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6"/>
      <c r="BO29" s="206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6"/>
      <c r="CB29" s="206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6"/>
      <c r="CO29" s="206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6"/>
      <c r="DB29" s="206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6"/>
      <c r="DO29" s="206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6"/>
      <c r="EB29" s="206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6"/>
      <c r="EO29" s="206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6"/>
      <c r="FB29" s="206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6"/>
      <c r="FO29" s="206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6"/>
      <c r="GB29" s="206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6"/>
      <c r="GO29" s="206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6"/>
      <c r="HB29" s="206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6"/>
      <c r="HO29" s="206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6"/>
      <c r="IB29" s="206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6"/>
      <c r="IO29" s="206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7"/>
      <c r="B30" s="218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0"/>
      <c r="O30" s="210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6"/>
      <c r="AB30" s="206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6"/>
      <c r="AO30" s="206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6"/>
      <c r="BB30" s="206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6"/>
      <c r="BO30" s="206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6"/>
      <c r="CB30" s="206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6"/>
      <c r="CO30" s="206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6"/>
      <c r="DB30" s="206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6"/>
      <c r="DO30" s="206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6"/>
      <c r="EB30" s="206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6"/>
      <c r="EO30" s="206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6"/>
      <c r="FB30" s="206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6"/>
      <c r="FO30" s="206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6"/>
      <c r="GB30" s="206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6"/>
      <c r="GO30" s="206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6"/>
      <c r="HB30" s="206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6"/>
      <c r="HO30" s="206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6"/>
      <c r="IB30" s="206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6"/>
      <c r="IO30" s="206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7"/>
      <c r="B31" s="218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0"/>
      <c r="O31" s="210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6"/>
      <c r="AB31" s="206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6"/>
      <c r="AO31" s="206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6"/>
      <c r="BB31" s="206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6"/>
      <c r="BO31" s="206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6"/>
      <c r="CB31" s="206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6"/>
      <c r="CO31" s="206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6"/>
      <c r="DB31" s="206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6"/>
      <c r="DO31" s="206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6"/>
      <c r="EB31" s="206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6"/>
      <c r="EO31" s="206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6"/>
      <c r="FB31" s="206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6"/>
      <c r="FO31" s="206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6"/>
      <c r="GB31" s="206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6"/>
      <c r="GO31" s="206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6"/>
      <c r="HB31" s="206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6"/>
      <c r="HO31" s="206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6"/>
      <c r="IB31" s="206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6"/>
      <c r="IO31" s="206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7"/>
      <c r="B32" s="218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2"/>
      <c r="O32" s="222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7"/>
      <c r="AB32" s="218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7"/>
      <c r="AO32" s="218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7"/>
      <c r="BB32" s="218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7"/>
      <c r="BO32" s="218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7"/>
      <c r="CB32" s="218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7"/>
      <c r="CO32" s="218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7"/>
      <c r="DB32" s="218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7"/>
      <c r="DO32" s="218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7"/>
      <c r="EB32" s="218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7"/>
      <c r="EO32" s="218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7"/>
      <c r="FB32" s="218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7"/>
      <c r="FO32" s="218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7"/>
      <c r="GB32" s="218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7"/>
      <c r="GO32" s="218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7"/>
      <c r="HB32" s="218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7"/>
      <c r="HO32" s="218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7"/>
      <c r="IB32" s="218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7"/>
      <c r="IO32" s="218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7"/>
      <c r="B33" s="218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0"/>
      <c r="O38" s="210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6"/>
      <c r="AB38" s="206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6"/>
      <c r="AO38" s="206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6"/>
      <c r="BB38" s="206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6"/>
      <c r="BO38" s="206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6"/>
      <c r="CB38" s="206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6"/>
      <c r="CO38" s="206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6"/>
      <c r="DB38" s="206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6"/>
      <c r="DO38" s="206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6"/>
      <c r="EB38" s="206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6"/>
      <c r="EO38" s="206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6"/>
      <c r="FB38" s="206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6"/>
      <c r="FO38" s="206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6"/>
      <c r="GB38" s="206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6"/>
      <c r="GO38" s="206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6"/>
      <c r="HB38" s="206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6"/>
      <c r="HO38" s="206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6"/>
      <c r="IB38" s="206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6"/>
      <c r="IO38" s="206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7"/>
      <c r="B39" s="218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0"/>
      <c r="O39" s="210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6"/>
      <c r="AB39" s="206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6"/>
      <c r="AO39" s="206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6"/>
      <c r="BB39" s="206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6"/>
      <c r="BO39" s="206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6"/>
      <c r="CB39" s="206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6"/>
      <c r="CO39" s="206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6"/>
      <c r="DB39" s="206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6"/>
      <c r="DO39" s="206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6"/>
      <c r="EB39" s="206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6"/>
      <c r="EO39" s="206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6"/>
      <c r="FB39" s="206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6"/>
      <c r="FO39" s="206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6"/>
      <c r="GB39" s="206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6"/>
      <c r="GO39" s="206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6"/>
      <c r="HB39" s="206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6"/>
      <c r="HO39" s="206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6"/>
      <c r="IB39" s="206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6"/>
      <c r="IO39" s="206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7"/>
      <c r="B40" s="218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0"/>
      <c r="O40" s="210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6"/>
      <c r="AB40" s="206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6"/>
      <c r="AO40" s="206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6"/>
      <c r="BB40" s="206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6"/>
      <c r="BO40" s="206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6"/>
      <c r="CB40" s="206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6"/>
      <c r="CO40" s="206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6"/>
      <c r="DB40" s="206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6"/>
      <c r="DO40" s="206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6"/>
      <c r="EB40" s="206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6"/>
      <c r="EO40" s="206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6"/>
      <c r="FB40" s="206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6"/>
      <c r="FO40" s="206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6"/>
      <c r="GB40" s="206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6"/>
      <c r="GO40" s="206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6"/>
      <c r="HB40" s="206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6"/>
      <c r="HO40" s="206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6"/>
      <c r="IB40" s="206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6"/>
      <c r="IO40" s="206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7"/>
      <c r="B41" s="218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7"/>
      <c r="B60" s="218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7"/>
      <c r="B61" s="218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7"/>
      <c r="B62" s="218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7"/>
      <c r="B63" s="218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7"/>
      <c r="B64" s="218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7"/>
      <c r="B65" s="218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7"/>
      <c r="B66" s="218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7"/>
      <c r="B67" s="218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7"/>
      <c r="B68" s="218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7"/>
      <c r="B69" s="218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19"/>
      <c r="B70" s="220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762</v>
      </c>
      <c r="B73" s="209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0"/>
      <c r="B74" s="210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0"/>
      <c r="B75" s="210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0"/>
      <c r="B76" s="210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0"/>
      <c r="B77" s="210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0"/>
      <c r="B78" s="210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0"/>
      <c r="B79" s="210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0"/>
      <c r="B80" s="210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0"/>
      <c r="B81" s="210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0"/>
      <c r="B82" s="210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0"/>
      <c r="B83" s="210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0"/>
      <c r="B84" s="210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0"/>
      <c r="B85" s="210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0"/>
      <c r="B86" s="210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0"/>
      <c r="B87" s="210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0"/>
      <c r="B88" s="210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0"/>
      <c r="B89" s="210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0"/>
      <c r="B90" s="210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2018-08-31T14:35:29Z</cp:lastPrinted>
  <dcterms:created xsi:type="dcterms:W3CDTF">1997-12-04T19:04:30Z</dcterms:created>
  <dcterms:modified xsi:type="dcterms:W3CDTF">2018-11-30T15:21:27Z</dcterms:modified>
</cp:coreProperties>
</file>