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2165" windowHeight="123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0" i="12"/>
  <c r="C10" i="12"/>
  <c r="C12" i="12"/>
  <c r="J468" i="1" l="1"/>
  <c r="H613" i="1" l="1"/>
  <c r="F613" i="1"/>
  <c r="H612" i="1"/>
  <c r="G612" i="1"/>
  <c r="F612" i="1"/>
  <c r="H611" i="1"/>
  <c r="H582" i="1" l="1"/>
  <c r="H579" i="1"/>
  <c r="G582" i="1"/>
  <c r="G579" i="1"/>
  <c r="F579" i="1"/>
  <c r="F582" i="1"/>
  <c r="F580" i="1"/>
  <c r="J604" i="1"/>
  <c r="J234" i="1"/>
  <c r="I234" i="1"/>
  <c r="H400" i="1" l="1"/>
  <c r="H102" i="1" l="1"/>
  <c r="G97" i="1" l="1"/>
  <c r="I197" i="1" l="1"/>
  <c r="G197" i="1"/>
  <c r="F367" i="1" l="1"/>
  <c r="I358" i="1"/>
  <c r="F358" i="1"/>
  <c r="I221" i="1" l="1"/>
  <c r="I203" i="1"/>
  <c r="F9" i="1" l="1"/>
  <c r="F197" i="1" l="1"/>
  <c r="H243" i="1"/>
  <c r="H225" i="1"/>
  <c r="H207" i="1"/>
  <c r="K236" i="1"/>
  <c r="I236" i="1"/>
  <c r="H236" i="1"/>
  <c r="G236" i="1"/>
  <c r="F236" i="1"/>
  <c r="K218" i="1"/>
  <c r="I218" i="1"/>
  <c r="H218" i="1"/>
  <c r="G218" i="1"/>
  <c r="F218" i="1"/>
  <c r="I245" i="1"/>
  <c r="H245" i="1"/>
  <c r="I227" i="1"/>
  <c r="H227" i="1"/>
  <c r="J209" i="1"/>
  <c r="I209" i="1"/>
  <c r="H209" i="1"/>
  <c r="I243" i="1"/>
  <c r="I225" i="1"/>
  <c r="I207" i="1"/>
  <c r="I241" i="1"/>
  <c r="H241" i="1"/>
  <c r="I223" i="1"/>
  <c r="H223" i="1"/>
  <c r="I205" i="1"/>
  <c r="H205" i="1"/>
  <c r="H240" i="1"/>
  <c r="H204" i="1"/>
  <c r="K239" i="1"/>
  <c r="I239" i="1"/>
  <c r="H239" i="1"/>
  <c r="G239" i="1"/>
  <c r="F239" i="1"/>
  <c r="K221" i="1"/>
  <c r="H221" i="1"/>
  <c r="G221" i="1"/>
  <c r="F221" i="1"/>
  <c r="H203" i="1"/>
  <c r="G203" i="1"/>
  <c r="F203" i="1"/>
  <c r="K238" i="1"/>
  <c r="H238" i="1"/>
  <c r="G238" i="1"/>
  <c r="F238" i="1"/>
  <c r="K220" i="1"/>
  <c r="H220" i="1"/>
  <c r="G220" i="1"/>
  <c r="F220" i="1"/>
  <c r="K202" i="1"/>
  <c r="H202" i="1"/>
  <c r="G202" i="1"/>
  <c r="F202" i="1"/>
  <c r="H234" i="1"/>
  <c r="G234" i="1"/>
  <c r="F234" i="1"/>
  <c r="J216" i="1"/>
  <c r="I216" i="1"/>
  <c r="H216" i="1"/>
  <c r="G216" i="1"/>
  <c r="F216" i="1"/>
  <c r="J198" i="1"/>
  <c r="I198" i="1"/>
  <c r="H198" i="1"/>
  <c r="G198" i="1"/>
  <c r="F198" i="1"/>
  <c r="G233" i="1"/>
  <c r="F233" i="1"/>
  <c r="G215" i="1"/>
  <c r="F215" i="1"/>
  <c r="H251" i="1"/>
  <c r="H233" i="1"/>
  <c r="K241" i="1"/>
  <c r="G241" i="1"/>
  <c r="F241" i="1"/>
  <c r="K223" i="1"/>
  <c r="G223" i="1"/>
  <c r="F223" i="1"/>
  <c r="G205" i="1"/>
  <c r="F205" i="1"/>
  <c r="I202" i="1"/>
  <c r="I251" i="1"/>
  <c r="J236" i="1"/>
  <c r="J218" i="1"/>
  <c r="G200" i="1"/>
  <c r="F200" i="1"/>
  <c r="I235" i="1"/>
  <c r="H235" i="1"/>
  <c r="G235" i="1"/>
  <c r="F235" i="1"/>
  <c r="I217" i="1"/>
  <c r="G217" i="1"/>
  <c r="F217" i="1"/>
  <c r="K234" i="1"/>
  <c r="K198" i="1"/>
  <c r="K233" i="1"/>
  <c r="J233" i="1"/>
  <c r="I233" i="1"/>
  <c r="K215" i="1"/>
  <c r="J215" i="1"/>
  <c r="I215" i="1"/>
  <c r="H215" i="1"/>
  <c r="J197" i="1"/>
  <c r="H197" i="1"/>
  <c r="H564" i="1"/>
  <c r="G564" i="1"/>
  <c r="F564" i="1"/>
  <c r="H563" i="1"/>
  <c r="G563" i="1"/>
  <c r="F563" i="1"/>
  <c r="H562" i="1"/>
  <c r="G562" i="1"/>
  <c r="F562" i="1"/>
  <c r="I564" i="1"/>
  <c r="I563" i="1"/>
  <c r="I562" i="1"/>
  <c r="G559" i="1"/>
  <c r="F559" i="1"/>
  <c r="J558" i="1"/>
  <c r="I558" i="1"/>
  <c r="H558" i="1"/>
  <c r="G558" i="1"/>
  <c r="F558" i="1"/>
  <c r="J557" i="1"/>
  <c r="I557" i="1"/>
  <c r="H557" i="1"/>
  <c r="G557" i="1"/>
  <c r="F557" i="1"/>
  <c r="F29" i="1" l="1"/>
  <c r="F24" i="1"/>
  <c r="F14" i="1"/>
  <c r="F110" i="1" l="1"/>
  <c r="F68" i="1"/>
  <c r="G528" i="1" l="1"/>
  <c r="H528" i="1"/>
  <c r="F528" i="1"/>
  <c r="H523" i="1"/>
  <c r="G523" i="1"/>
  <c r="F523" i="1"/>
  <c r="K523" i="1"/>
  <c r="J523" i="1"/>
  <c r="I523" i="1"/>
  <c r="G527" i="1"/>
  <c r="F527" i="1"/>
  <c r="H527" i="1"/>
  <c r="H522" i="1"/>
  <c r="G522" i="1"/>
  <c r="F522" i="1"/>
  <c r="I522" i="1"/>
  <c r="J522" i="1"/>
  <c r="G526" i="1"/>
  <c r="I526" i="1"/>
  <c r="H526" i="1"/>
  <c r="F526" i="1"/>
  <c r="I521" i="1"/>
  <c r="H521" i="1"/>
  <c r="G521" i="1"/>
  <c r="F521" i="1"/>
  <c r="J521" i="1"/>
  <c r="H533" i="1"/>
  <c r="G533" i="1"/>
  <c r="F533" i="1"/>
  <c r="H532" i="1"/>
  <c r="G532" i="1"/>
  <c r="F532" i="1"/>
  <c r="H531" i="1"/>
  <c r="G531" i="1"/>
  <c r="F531" i="1"/>
  <c r="H538" i="1"/>
  <c r="H537" i="1"/>
  <c r="H536" i="1"/>
  <c r="H543" i="1" l="1"/>
  <c r="H542" i="1"/>
  <c r="H541" i="1"/>
  <c r="H591" i="1"/>
  <c r="J591" i="1"/>
  <c r="J595" i="1"/>
  <c r="J592" i="1"/>
  <c r="I592" i="1"/>
  <c r="I591" i="1"/>
  <c r="H592" i="1"/>
  <c r="H208" i="1"/>
  <c r="G208" i="1"/>
  <c r="F208" i="1"/>
  <c r="H358" i="1" l="1"/>
  <c r="H367" i="1" l="1"/>
  <c r="G367" i="1"/>
  <c r="I359" i="1"/>
  <c r="F360" i="1"/>
  <c r="F359" i="1"/>
  <c r="J358" i="1"/>
  <c r="G358" i="1"/>
  <c r="J359" i="1"/>
  <c r="H359" i="1"/>
  <c r="G359" i="1"/>
  <c r="J360" i="1"/>
  <c r="I360" i="1"/>
  <c r="H360" i="1"/>
  <c r="G360" i="1"/>
  <c r="G158" i="1" l="1"/>
  <c r="G30" i="1"/>
  <c r="G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1" i="12" s="1"/>
  <c r="B13" i="12" s="1"/>
  <c r="C9" i="12"/>
  <c r="C11" i="12" s="1"/>
  <c r="C13" i="12" s="1"/>
  <c r="B18" i="12"/>
  <c r="B21" i="12" s="1"/>
  <c r="B22" i="12" s="1"/>
  <c r="C18" i="12"/>
  <c r="C21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C114" i="2"/>
  <c r="D115" i="2"/>
  <c r="F115" i="2"/>
  <c r="G115" i="2"/>
  <c r="C119" i="2"/>
  <c r="E119" i="2"/>
  <c r="E120" i="2"/>
  <c r="E121" i="2"/>
  <c r="E122" i="2"/>
  <c r="E123" i="2"/>
  <c r="E124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G461" i="1" s="1"/>
  <c r="H640" i="1" s="1"/>
  <c r="H452" i="1"/>
  <c r="I452" i="1"/>
  <c r="F460" i="1"/>
  <c r="G460" i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J641" i="1" s="1"/>
  <c r="G643" i="1"/>
  <c r="H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G164" i="2"/>
  <c r="C26" i="10"/>
  <c r="L351" i="1"/>
  <c r="A40" i="12"/>
  <c r="D62" i="2"/>
  <c r="D63" i="2" s="1"/>
  <c r="D18" i="13"/>
  <c r="C18" i="13" s="1"/>
  <c r="D18" i="2"/>
  <c r="C91" i="2"/>
  <c r="F78" i="2"/>
  <c r="F81" i="2" s="1"/>
  <c r="D50" i="2"/>
  <c r="G157" i="2"/>
  <c r="F18" i="2"/>
  <c r="G161" i="2"/>
  <c r="G156" i="2"/>
  <c r="E103" i="2"/>
  <c r="D91" i="2"/>
  <c r="G62" i="2"/>
  <c r="D19" i="13"/>
  <c r="C19" i="13" s="1"/>
  <c r="E78" i="2"/>
  <c r="E81" i="2" s="1"/>
  <c r="L427" i="1"/>
  <c r="J639" i="1"/>
  <c r="K571" i="1"/>
  <c r="L433" i="1"/>
  <c r="L419" i="1"/>
  <c r="I169" i="1"/>
  <c r="I476" i="1"/>
  <c r="H625" i="1" s="1"/>
  <c r="J625" i="1" s="1"/>
  <c r="J140" i="1"/>
  <c r="G22" i="2"/>
  <c r="J552" i="1"/>
  <c r="H140" i="1"/>
  <c r="L401" i="1"/>
  <c r="C139" i="2" s="1"/>
  <c r="L393" i="1"/>
  <c r="H25" i="13"/>
  <c r="C25" i="13" s="1"/>
  <c r="G192" i="1"/>
  <c r="H192" i="1"/>
  <c r="L570" i="1"/>
  <c r="J636" i="1"/>
  <c r="G36" i="2"/>
  <c r="C138" i="2"/>
  <c r="C21" i="10" l="1"/>
  <c r="C20" i="10"/>
  <c r="A13" i="12"/>
  <c r="A31" i="12"/>
  <c r="L614" i="1"/>
  <c r="J338" i="1"/>
  <c r="J352" i="1" s="1"/>
  <c r="J645" i="1"/>
  <c r="I460" i="1"/>
  <c r="I461" i="1" s="1"/>
  <c r="H642" i="1" s="1"/>
  <c r="J642" i="1" s="1"/>
  <c r="J640" i="1"/>
  <c r="C18" i="2"/>
  <c r="J476" i="1"/>
  <c r="H626" i="1" s="1"/>
  <c r="K338" i="1"/>
  <c r="K352" i="1" s="1"/>
  <c r="L328" i="1"/>
  <c r="L309" i="1"/>
  <c r="E118" i="2"/>
  <c r="E128" i="2" s="1"/>
  <c r="F338" i="1"/>
  <c r="F352" i="1" s="1"/>
  <c r="G338" i="1"/>
  <c r="G352" i="1" s="1"/>
  <c r="F22" i="13"/>
  <c r="C22" i="13" s="1"/>
  <c r="H338" i="1"/>
  <c r="H352" i="1" s="1"/>
  <c r="E130" i="2"/>
  <c r="E115" i="2"/>
  <c r="L290" i="1"/>
  <c r="H476" i="1"/>
  <c r="H624" i="1" s="1"/>
  <c r="J624" i="1" s="1"/>
  <c r="E62" i="2"/>
  <c r="E63" i="2" s="1"/>
  <c r="H112" i="1"/>
  <c r="G624" i="1"/>
  <c r="F192" i="1"/>
  <c r="C132" i="2"/>
  <c r="H33" i="13"/>
  <c r="C125" i="2"/>
  <c r="C122" i="2"/>
  <c r="C19" i="10"/>
  <c r="L256" i="1"/>
  <c r="C17" i="10"/>
  <c r="E16" i="13"/>
  <c r="C123" i="2"/>
  <c r="D14" i="13"/>
  <c r="C14" i="13" s="1"/>
  <c r="C18" i="10"/>
  <c r="C121" i="2"/>
  <c r="E8" i="13"/>
  <c r="C8" i="13" s="1"/>
  <c r="C118" i="2"/>
  <c r="C15" i="10"/>
  <c r="K257" i="1"/>
  <c r="K271" i="1" s="1"/>
  <c r="C13" i="10"/>
  <c r="J257" i="1"/>
  <c r="J271" i="1" s="1"/>
  <c r="L247" i="1"/>
  <c r="H660" i="1" s="1"/>
  <c r="C12" i="10"/>
  <c r="C111" i="2"/>
  <c r="C110" i="2"/>
  <c r="C11" i="10"/>
  <c r="D5" i="13"/>
  <c r="C5" i="13" s="1"/>
  <c r="I257" i="1"/>
  <c r="I271" i="1" s="1"/>
  <c r="H257" i="1"/>
  <c r="H271" i="1" s="1"/>
  <c r="C10" i="10"/>
  <c r="L229" i="1"/>
  <c r="G257" i="1"/>
  <c r="G271" i="1" s="1"/>
  <c r="C115" i="2"/>
  <c r="L565" i="1"/>
  <c r="J571" i="1"/>
  <c r="H571" i="1"/>
  <c r="F476" i="1"/>
  <c r="H622" i="1" s="1"/>
  <c r="J622" i="1" s="1"/>
  <c r="J617" i="1"/>
  <c r="C62" i="2"/>
  <c r="F112" i="1"/>
  <c r="C56" i="2"/>
  <c r="I545" i="1"/>
  <c r="L534" i="1"/>
  <c r="I552" i="1"/>
  <c r="L539" i="1"/>
  <c r="K550" i="1"/>
  <c r="L529" i="1"/>
  <c r="G552" i="1"/>
  <c r="G545" i="1"/>
  <c r="K549" i="1"/>
  <c r="F552" i="1"/>
  <c r="H545" i="1"/>
  <c r="K551" i="1"/>
  <c r="L524" i="1"/>
  <c r="L544" i="1"/>
  <c r="K598" i="1"/>
  <c r="G647" i="1" s="1"/>
  <c r="L211" i="1"/>
  <c r="D15" i="13"/>
  <c r="C15" i="13" s="1"/>
  <c r="G649" i="1"/>
  <c r="J649" i="1" s="1"/>
  <c r="H647" i="1"/>
  <c r="C124" i="2"/>
  <c r="F662" i="1"/>
  <c r="I662" i="1" s="1"/>
  <c r="F257" i="1"/>
  <c r="F271" i="1" s="1"/>
  <c r="G476" i="1"/>
  <c r="H623" i="1" s="1"/>
  <c r="J623" i="1" s="1"/>
  <c r="F661" i="1"/>
  <c r="I369" i="1"/>
  <c r="H634" i="1" s="1"/>
  <c r="J634" i="1" s="1"/>
  <c r="D29" i="13"/>
  <c r="C29" i="13" s="1"/>
  <c r="G661" i="1"/>
  <c r="D127" i="2"/>
  <c r="D128" i="2" s="1"/>
  <c r="D145" i="2" s="1"/>
  <c r="H661" i="1"/>
  <c r="L362" i="1"/>
  <c r="G635" i="1" s="1"/>
  <c r="J635" i="1" s="1"/>
  <c r="C78" i="2"/>
  <c r="C81" i="2" s="1"/>
  <c r="C16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G660" i="1" l="1"/>
  <c r="H648" i="1"/>
  <c r="J648" i="1" s="1"/>
  <c r="G104" i="2"/>
  <c r="G51" i="2"/>
  <c r="E145" i="2"/>
  <c r="L338" i="1"/>
  <c r="L352" i="1" s="1"/>
  <c r="G633" i="1" s="1"/>
  <c r="J633" i="1" s="1"/>
  <c r="D31" i="13"/>
  <c r="C31" i="13" s="1"/>
  <c r="F660" i="1"/>
  <c r="I660" i="1" s="1"/>
  <c r="E104" i="2"/>
  <c r="C128" i="2"/>
  <c r="C145" i="2" s="1"/>
  <c r="E33" i="13"/>
  <c r="D35" i="13" s="1"/>
  <c r="H664" i="1"/>
  <c r="H667" i="1" s="1"/>
  <c r="L257" i="1"/>
  <c r="L271" i="1" s="1"/>
  <c r="G632" i="1" s="1"/>
  <c r="J632" i="1" s="1"/>
  <c r="F193" i="1"/>
  <c r="G627" i="1" s="1"/>
  <c r="J627" i="1" s="1"/>
  <c r="C63" i="2"/>
  <c r="C104" i="2" s="1"/>
  <c r="K552" i="1"/>
  <c r="L545" i="1"/>
  <c r="J647" i="1"/>
  <c r="G664" i="1"/>
  <c r="G672" i="1" s="1"/>
  <c r="C5" i="10" s="1"/>
  <c r="I661" i="1"/>
  <c r="C27" i="10"/>
  <c r="C28" i="10" s="1"/>
  <c r="D23" i="10" s="1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64" i="1"/>
  <c r="F672" i="1" s="1"/>
  <c r="C4" i="10" s="1"/>
  <c r="H672" i="1"/>
  <c r="C6" i="10" s="1"/>
  <c r="I664" i="1"/>
  <c r="I672" i="1" s="1"/>
  <c r="C7" i="10" s="1"/>
  <c r="G667" i="1"/>
  <c r="D27" i="10"/>
  <c r="D18" i="10"/>
  <c r="D12" i="10"/>
  <c r="D17" i="10"/>
  <c r="D20" i="10"/>
  <c r="D15" i="10"/>
  <c r="D25" i="10"/>
  <c r="D19" i="10"/>
  <c r="D13" i="10"/>
  <c r="D11" i="10"/>
  <c r="D21" i="10"/>
  <c r="D22" i="10"/>
  <c r="D24" i="10"/>
  <c r="D10" i="10"/>
  <c r="D26" i="10"/>
  <c r="C30" i="10"/>
  <c r="D16" i="10"/>
  <c r="G637" i="1"/>
  <c r="J637" i="1" s="1"/>
  <c r="H646" i="1"/>
  <c r="J646" i="1" s="1"/>
  <c r="C41" i="10"/>
  <c r="D38" i="10" s="1"/>
  <c r="F667" i="1" l="1"/>
  <c r="I667" i="1"/>
  <c r="D28" i="10"/>
  <c r="H656" i="1"/>
  <c r="D37" i="10"/>
  <c r="D36" i="10"/>
  <c r="D35" i="10"/>
  <c r="D40" i="10"/>
  <c r="D39" i="10"/>
  <c r="D41" i="10" l="1"/>
  <c r="F560" i="1"/>
  <c r="F571" i="1" s="1"/>
  <c r="L559" i="1"/>
  <c r="L560" i="1" s="1"/>
  <c r="L571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<sst xmlns="http://schemas.openxmlformats.org/spreadsheetml/2006/main" count="3957" uniqueCount="913">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</sst>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335</v>
      </c>
      <c r="C2" s="21">
        <v>335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200+1615266.5+5322532.28+318.85-0.2</f>
        <v>6938317.4299999997</v>
      </c>
      <c r="G9" s="18">
        <f>150331.2+50</f>
        <v>150381.20000000001</v>
      </c>
      <c r="H9" s="18">
        <v>1400</v>
      </c>
      <c r="I9" s="18"/>
      <c r="J9" s="67">
        <f>SUM(I439)</f>
        <v>1206754.96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741767.15</v>
      </c>
      <c r="G12" s="18">
        <v>312231.58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35454719.07</v>
      </c>
      <c r="G13" s="18">
        <v>226831.57</v>
      </c>
      <c r="H13" s="18">
        <v>36239.39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51257.62+728525.57</f>
        <v>779783.19</v>
      </c>
      <c r="G14" s="18">
        <v>4725.6499999999996</v>
      </c>
      <c r="H14" s="18">
        <v>2466248.37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30500.02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38882.21</v>
      </c>
      <c r="G17" s="18"/>
      <c r="H17" s="18">
        <v>13100.75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43953469.049999997</v>
      </c>
      <c r="G19" s="41">
        <f>SUM(G9:G18)</f>
        <v>724670.02000000014</v>
      </c>
      <c r="H19" s="41">
        <f>SUM(H9:H18)</f>
        <v>2516988.5100000002</v>
      </c>
      <c r="I19" s="41">
        <f>SUM(I9:I18)</f>
        <v>0</v>
      </c>
      <c r="J19" s="41">
        <f>SUM(J9:J18)</f>
        <v>1206754.96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714674.73</v>
      </c>
      <c r="I22" s="18"/>
      <c r="J22" s="67">
        <f>SUM(I448)</f>
        <v>272839.42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1861975.89+11990.58</f>
        <v>1873966.47</v>
      </c>
      <c r="G24" s="18">
        <v>51321.1</v>
      </c>
      <c r="H24" s="18">
        <v>253656.33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2992478.35</v>
      </c>
      <c r="G28" s="18">
        <v>10646.61</v>
      </c>
      <c r="H28" s="18">
        <v>448690.46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648810.39+82934.49+30200.45+1516253.4+2741.83</f>
        <v>2280940.56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36331980.770000003</v>
      </c>
      <c r="G30" s="18">
        <f>40980.46+14200.23+20681.5+2985.27</f>
        <v>78847.460000000006</v>
      </c>
      <c r="H30" s="18">
        <v>5662.56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43479366.150000006</v>
      </c>
      <c r="G32" s="41">
        <f>SUM(G22:G31)</f>
        <v>140815.17000000001</v>
      </c>
      <c r="H32" s="41">
        <f>SUM(H22:H31)</f>
        <v>1422684.08</v>
      </c>
      <c r="I32" s="41">
        <f>SUM(I22:I31)</f>
        <v>0</v>
      </c>
      <c r="J32" s="41">
        <f>SUM(J22:J31)</f>
        <v>272839.42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30500.02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38882.21</v>
      </c>
      <c r="G36" s="18"/>
      <c r="H36" s="18">
        <v>13100.75</v>
      </c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553354.82999999996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172669.97</v>
      </c>
      <c r="G48" s="18"/>
      <c r="H48" s="18">
        <v>1081203.68</v>
      </c>
      <c r="I48" s="18"/>
      <c r="J48" s="13">
        <f>SUM(I459)</f>
        <v>933915.54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262550.71999999997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474102.89999999997</v>
      </c>
      <c r="G51" s="41">
        <f>SUM(G35:G50)</f>
        <v>583854.85</v>
      </c>
      <c r="H51" s="41">
        <f>SUM(H35:H50)</f>
        <v>1094304.43</v>
      </c>
      <c r="I51" s="41">
        <f>SUM(I35:I50)</f>
        <v>0</v>
      </c>
      <c r="J51" s="41">
        <f>SUM(J35:J50)</f>
        <v>933915.54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43953469.050000004</v>
      </c>
      <c r="G52" s="41">
        <f>G51+G32</f>
        <v>724670.02</v>
      </c>
      <c r="H52" s="41">
        <f>H51+H32</f>
        <v>2516988.5099999998</v>
      </c>
      <c r="I52" s="41">
        <f>I51+I32</f>
        <v>0</v>
      </c>
      <c r="J52" s="41">
        <f>J51+J32</f>
        <v>1206754.96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79421862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>
        <v>56558.85</v>
      </c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79421862</v>
      </c>
      <c r="G60" s="41">
        <f>SUM(G57:G59)</f>
        <v>0</v>
      </c>
      <c r="H60" s="41">
        <f>SUM(H57:H59)</f>
        <v>56558.85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24168.7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>
        <v>18927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>
        <v>28198.080000000002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1981816.41+927669</f>
        <v>2909485.41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573740.15</v>
      </c>
      <c r="G69" s="24" t="s">
        <v>286</v>
      </c>
      <c r="H69" s="18">
        <v>3177551.86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302506.93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3809901.1900000004</v>
      </c>
      <c r="G79" s="45" t="s">
        <v>286</v>
      </c>
      <c r="H79" s="41">
        <f>SUM(H63:H78)</f>
        <v>3224676.94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349440.24</v>
      </c>
      <c r="G96" s="18"/>
      <c r="H96" s="18"/>
      <c r="I96" s="18"/>
      <c r="J96" s="18">
        <v>-10125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597240.15+54102.3+337019.55+34.97+21507.14+236.62</f>
        <v>1010140.73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36489</v>
      </c>
      <c r="G98" s="24" t="s">
        <v>286</v>
      </c>
      <c r="H98" s="18">
        <v>41263.64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7637.45</v>
      </c>
      <c r="G101" s="18"/>
      <c r="H101" s="18">
        <v>1300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345397.2+71454.69+53448.3</f>
        <v>470300.19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6.49+1400000</f>
        <v>1400006.49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1793573.18</v>
      </c>
      <c r="G111" s="41">
        <f>SUM(G96:G110)</f>
        <v>1010140.73</v>
      </c>
      <c r="H111" s="41">
        <f>SUM(H96:H110)</f>
        <v>512863.83</v>
      </c>
      <c r="I111" s="41">
        <f>SUM(I96:I110)</f>
        <v>0</v>
      </c>
      <c r="J111" s="41">
        <f>SUM(J96:J110)</f>
        <v>-10125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85025336.370000005</v>
      </c>
      <c r="G112" s="41">
        <f>G60+G111</f>
        <v>1010140.73</v>
      </c>
      <c r="H112" s="41">
        <f>H60+H79+H94+H111</f>
        <v>3794099.62</v>
      </c>
      <c r="I112" s="41">
        <f>I60+I111</f>
        <v>0</v>
      </c>
      <c r="J112" s="41">
        <f>J60+J111</f>
        <v>-10125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56793685.869999997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20252382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233043.65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77279111.520000011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2959317.24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1093700.06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641448.43000000005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84143.32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22080.92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4694465.7300000004</v>
      </c>
      <c r="G136" s="41">
        <f>SUM(G123:G135)</f>
        <v>84143.32</v>
      </c>
      <c r="H136" s="41">
        <f>SUM(H123:H135)</f>
        <v>22080.92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81973577.250000015</v>
      </c>
      <c r="G140" s="41">
        <f>G121+SUM(G136:G137)</f>
        <v>84143.32</v>
      </c>
      <c r="H140" s="41">
        <f>H121+SUM(H136:H139)</f>
        <v>22080.92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>
        <v>435403.4</v>
      </c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435403.4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7641244.3700000001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2413925.12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630897.11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303804.51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3941027.53+138903.25</f>
        <v>4079930.78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4362310.83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1580201.96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90662.79</v>
      </c>
      <c r="G161" s="18"/>
      <c r="H161" s="18">
        <v>424934.34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1670864.75</v>
      </c>
      <c r="G162" s="41">
        <f>SUM(G150:G161)</f>
        <v>4079930.78</v>
      </c>
      <c r="H162" s="41">
        <f>SUM(H150:H161)</f>
        <v>15777116.279999999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1670864.75</v>
      </c>
      <c r="G169" s="41">
        <f>G147+G162+SUM(G163:G168)</f>
        <v>4515334.18</v>
      </c>
      <c r="H169" s="41">
        <f>H147+H162+SUM(H163:H168)</f>
        <v>15777116.279999999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450822.58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240406.81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240406.81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450822.58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723662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723662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964068.81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450822.58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169633847.18000001</v>
      </c>
      <c r="G193" s="47">
        <f>G112+G140+G169+G192</f>
        <v>5609618.2299999995</v>
      </c>
      <c r="H193" s="47">
        <f>H112+H140+H169+H192</f>
        <v>19593296.82</v>
      </c>
      <c r="I193" s="47">
        <f>I112+I140+I169+I192</f>
        <v>0</v>
      </c>
      <c r="J193" s="47">
        <f>J112+J140+J192</f>
        <v>440697.58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19896438.12+64438.38-0.02</f>
        <v>19960876.48</v>
      </c>
      <c r="G197" s="18">
        <f>9353010.65-620741.67-3834.52</f>
        <v>8728434.4600000009</v>
      </c>
      <c r="H197" s="18">
        <f>2020.13+1000+250225+9628.31+2196.24+276.25</f>
        <v>265345.93</v>
      </c>
      <c r="I197" s="18">
        <f>124551.94+39603.7+28.92</f>
        <v>164184.56000000003</v>
      </c>
      <c r="J197" s="18">
        <f>895.05</f>
        <v>895.05</v>
      </c>
      <c r="K197" s="18"/>
      <c r="L197" s="19">
        <f>SUM(F197:K197)</f>
        <v>29119736.48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9003421.08+210026.12</f>
        <v>9213447.1999999993</v>
      </c>
      <c r="G198" s="18">
        <f>5858496.08-60510.83</f>
        <v>5797985.25</v>
      </c>
      <c r="H198" s="18">
        <f>330407.58+2000+4900+2.52+1725991.51+955.95+123325.61</f>
        <v>2187583.17</v>
      </c>
      <c r="I198" s="18">
        <f>51988.14+2452.22+12451.5</f>
        <v>66891.86</v>
      </c>
      <c r="J198" s="18">
        <f>1097.99+323.19</f>
        <v>1421.18</v>
      </c>
      <c r="K198" s="18">
        <f>549</f>
        <v>549</v>
      </c>
      <c r="L198" s="19">
        <f>SUM(F198:K198)</f>
        <v>17267877.659999996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29592.11</f>
        <v>29592.11</v>
      </c>
      <c r="G200" s="18">
        <f>5474.09</f>
        <v>5474.09</v>
      </c>
      <c r="H200" s="18"/>
      <c r="I200" s="18"/>
      <c r="J200" s="18"/>
      <c r="K200" s="18"/>
      <c r="L200" s="19">
        <f>SUM(F200:K200)</f>
        <v>35066.199999999997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2817002.27+122776.61</f>
        <v>2939778.88</v>
      </c>
      <c r="G202" s="18">
        <f>1357963.42+63653.59</f>
        <v>1421617.01</v>
      </c>
      <c r="H202" s="18">
        <f>618959.85+523.26+217023.6</f>
        <v>836506.71</v>
      </c>
      <c r="I202" s="18">
        <f>684.52</f>
        <v>684.52</v>
      </c>
      <c r="J202" s="18"/>
      <c r="K202" s="18">
        <f>801265.68</f>
        <v>801265.68</v>
      </c>
      <c r="L202" s="19">
        <f t="shared" ref="L202:L208" si="0">SUM(F202:K202)</f>
        <v>5999852.7999999989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842472.36+21129.54</f>
        <v>863601.9</v>
      </c>
      <c r="G203" s="18">
        <f>410988.37+49128.5+26827.32+10051.13</f>
        <v>496995.32</v>
      </c>
      <c r="H203" s="18">
        <f>21.83+131.67</f>
        <v>153.5</v>
      </c>
      <c r="I203" s="18">
        <f>69.44+265.2+141.03+1350+49250.96</f>
        <v>51076.63</v>
      </c>
      <c r="J203" s="18">
        <v>0</v>
      </c>
      <c r="K203" s="18">
        <v>10.8</v>
      </c>
      <c r="L203" s="19">
        <f t="shared" si="0"/>
        <v>1411838.15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328119.78999999998</v>
      </c>
      <c r="G204" s="18">
        <v>170321.78</v>
      </c>
      <c r="H204" s="18">
        <f>6138.46+59894.74</f>
        <v>66033.2</v>
      </c>
      <c r="I204" s="18">
        <v>485.26</v>
      </c>
      <c r="J204" s="18"/>
      <c r="K204" s="18">
        <v>4238.03</v>
      </c>
      <c r="L204" s="19">
        <f t="shared" si="0"/>
        <v>569198.05999999994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3201671.49</f>
        <v>3201671.49</v>
      </c>
      <c r="G205" s="18">
        <f>1467597.16</f>
        <v>1467597.16</v>
      </c>
      <c r="H205" s="18">
        <f>43319.42+76.8+2091.93</f>
        <v>45488.15</v>
      </c>
      <c r="I205" s="18">
        <f>89.99+126</f>
        <v>215.99</v>
      </c>
      <c r="J205" s="18"/>
      <c r="K205" s="18">
        <v>780</v>
      </c>
      <c r="L205" s="19">
        <f t="shared" si="0"/>
        <v>4715752.790000001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237607.56</v>
      </c>
      <c r="G206" s="18">
        <v>130215.1</v>
      </c>
      <c r="H206" s="18">
        <v>32978.9</v>
      </c>
      <c r="I206" s="18">
        <v>6839.03</v>
      </c>
      <c r="J206" s="18"/>
      <c r="K206" s="18">
        <v>46126.8</v>
      </c>
      <c r="L206" s="19">
        <f t="shared" si="0"/>
        <v>453767.39000000007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>
        <f>49994.98+43089.23+68409.1+22536.75+1363579.21</f>
        <v>1547609.27</v>
      </c>
      <c r="I207" s="18">
        <f>1518.42+259129.21+431812.96+136.71+9014.83</f>
        <v>701612.13</v>
      </c>
      <c r="J207" s="18"/>
      <c r="K207" s="18">
        <v>81</v>
      </c>
      <c r="L207" s="19">
        <f t="shared" si="0"/>
        <v>2249302.4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18835.8</f>
        <v>18835.8</v>
      </c>
      <c r="G208" s="18">
        <f>7141.44</f>
        <v>7141.44</v>
      </c>
      <c r="H208" s="18">
        <f>1945476.11</f>
        <v>1945476.11</v>
      </c>
      <c r="I208" s="18"/>
      <c r="J208" s="18"/>
      <c r="K208" s="18"/>
      <c r="L208" s="19">
        <f t="shared" si="0"/>
        <v>1971453.35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267434.46999999997</v>
      </c>
      <c r="G209" s="18">
        <v>112744.65</v>
      </c>
      <c r="H209" s="18">
        <f>5951.5+139592.12</f>
        <v>145543.62</v>
      </c>
      <c r="I209" s="18">
        <f>61471.18-28815.9</f>
        <v>32655.279999999999</v>
      </c>
      <c r="J209" s="18">
        <f>555+757.26</f>
        <v>1312.26</v>
      </c>
      <c r="K209" s="18"/>
      <c r="L209" s="19">
        <f>SUM(F209:K209)</f>
        <v>559690.28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37060965.679999992</v>
      </c>
      <c r="G211" s="41">
        <f t="shared" si="1"/>
        <v>18338526.260000002</v>
      </c>
      <c r="H211" s="41">
        <f t="shared" si="1"/>
        <v>7072718.5600000005</v>
      </c>
      <c r="I211" s="41">
        <f t="shared" si="1"/>
        <v>1024645.26</v>
      </c>
      <c r="J211" s="41">
        <f t="shared" si="1"/>
        <v>3628.49</v>
      </c>
      <c r="K211" s="41">
        <f t="shared" si="1"/>
        <v>853051.31000000017</v>
      </c>
      <c r="L211" s="41">
        <f t="shared" si="1"/>
        <v>64353535.560000002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11683188.91+37589.05</f>
        <v>11720777.960000001</v>
      </c>
      <c r="G215" s="18">
        <f>5729960.91-424717.98</f>
        <v>5305242.93</v>
      </c>
      <c r="H215" s="18">
        <f>428+1000+702.8+26323.87+5190.92+1473.17+46.62</f>
        <v>35165.379999999997</v>
      </c>
      <c r="I215" s="18">
        <f>60574.64+16764.54</f>
        <v>77339.179999999993</v>
      </c>
      <c r="J215" s="18">
        <f>3738.9</f>
        <v>3738.9</v>
      </c>
      <c r="K215" s="18">
        <f>250</f>
        <v>250</v>
      </c>
      <c r="L215" s="19">
        <f>SUM(F215:K215)</f>
        <v>17142514.349999998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3895251.49+122515.24</f>
        <v>4017766.7300000004</v>
      </c>
      <c r="G216" s="18">
        <f>2249001.89-35297.99</f>
        <v>2213703.9</v>
      </c>
      <c r="H216" s="18">
        <f>119127.31+2440244.34+548.1+71939.94</f>
        <v>2631859.69</v>
      </c>
      <c r="I216" s="18">
        <f>9041.17+287.49+7263.38</f>
        <v>16592.04</v>
      </c>
      <c r="J216" s="18">
        <f>593.36+188.53</f>
        <v>781.89</v>
      </c>
      <c r="K216" s="18"/>
      <c r="L216" s="19">
        <f>SUM(F216:K216)</f>
        <v>8880704.25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f>263843.5</f>
        <v>263843.5</v>
      </c>
      <c r="G217" s="18">
        <f>122315.58</f>
        <v>122315.58</v>
      </c>
      <c r="H217" s="18"/>
      <c r="I217" s="18">
        <f>5300</f>
        <v>5300</v>
      </c>
      <c r="J217" s="18"/>
      <c r="K217" s="18"/>
      <c r="L217" s="19">
        <f>SUM(F217:K217)</f>
        <v>391459.08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176506.39+3685.15</f>
        <v>180191.54</v>
      </c>
      <c r="G218" s="18">
        <f>39646.64+284.53</f>
        <v>39931.17</v>
      </c>
      <c r="H218" s="18">
        <f>19420+1574.32</f>
        <v>20994.32</v>
      </c>
      <c r="I218" s="18">
        <f>6856.11+54.75</f>
        <v>6910.86</v>
      </c>
      <c r="J218" s="18">
        <f>3957.5</f>
        <v>3957.5</v>
      </c>
      <c r="K218" s="18">
        <f>2392.5+14657.42</f>
        <v>17049.919999999998</v>
      </c>
      <c r="L218" s="19">
        <f>SUM(F218:K218)</f>
        <v>269035.31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1182053.85+71619.69</f>
        <v>1253673.54</v>
      </c>
      <c r="G220" s="18">
        <f>544794.31+37131.26</f>
        <v>581925.57000000007</v>
      </c>
      <c r="H220" s="18">
        <f>128802.27+158.07+126597.1</f>
        <v>255557.44</v>
      </c>
      <c r="I220" s="18"/>
      <c r="J220" s="18"/>
      <c r="K220" s="18">
        <f>467404.98</f>
        <v>467404.98</v>
      </c>
      <c r="L220" s="19">
        <f t="shared" ref="L220:L226" si="2">SUM(F220:K220)</f>
        <v>2558561.5300000003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284672.22+12325.57</f>
        <v>296997.78999999998</v>
      </c>
      <c r="G221" s="18">
        <f>110356.75+28872.2+15486.92+5863.16</f>
        <v>160579.03000000003</v>
      </c>
      <c r="H221" s="18">
        <f>239.91+76.81</f>
        <v>316.72000000000003</v>
      </c>
      <c r="I221" s="18">
        <f>166.25+787.5+30376.24</f>
        <v>31329.99</v>
      </c>
      <c r="J221" s="18">
        <v>0</v>
      </c>
      <c r="K221" s="18">
        <f>6.3</f>
        <v>6.3</v>
      </c>
      <c r="L221" s="19">
        <f t="shared" si="2"/>
        <v>489229.82999999996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191403.21</v>
      </c>
      <c r="G222" s="18">
        <v>99354.37</v>
      </c>
      <c r="H222" s="18">
        <v>34938.6</v>
      </c>
      <c r="I222" s="18">
        <v>283.07</v>
      </c>
      <c r="J222" s="18"/>
      <c r="K222" s="18">
        <v>2472.19</v>
      </c>
      <c r="L222" s="19">
        <f t="shared" si="2"/>
        <v>328451.43999999994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1353694.61</f>
        <v>1353694.61</v>
      </c>
      <c r="G223" s="18">
        <f>691280.56</f>
        <v>691280.56</v>
      </c>
      <c r="H223" s="18">
        <f>425.57+21046.27+1220.3</f>
        <v>22692.14</v>
      </c>
      <c r="I223" s="18">
        <f>7762.23+73.5</f>
        <v>7835.73</v>
      </c>
      <c r="J223" s="18"/>
      <c r="K223" s="18">
        <f>879+242.25</f>
        <v>1121.25</v>
      </c>
      <c r="L223" s="19">
        <f t="shared" si="2"/>
        <v>2076624.29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138604.41</v>
      </c>
      <c r="G224" s="18">
        <v>75958.81</v>
      </c>
      <c r="H224" s="18">
        <v>19237.689999999999</v>
      </c>
      <c r="I224" s="18">
        <v>3989.43</v>
      </c>
      <c r="J224" s="18"/>
      <c r="K224" s="18">
        <v>26907.3</v>
      </c>
      <c r="L224" s="19">
        <f t="shared" si="2"/>
        <v>264697.64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>
        <f>15725.28+19647.38+50231+8060.12+1358098.45</f>
        <v>1451762.23</v>
      </c>
      <c r="I225" s="18">
        <f>519.52+142232.67+263649.71+5258.65</f>
        <v>411660.55000000005</v>
      </c>
      <c r="J225" s="18"/>
      <c r="K225" s="18">
        <v>47.25</v>
      </c>
      <c r="L225" s="19">
        <f t="shared" si="2"/>
        <v>1863470.03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16923.330000000002</v>
      </c>
      <c r="G226" s="18">
        <v>6416.34</v>
      </c>
      <c r="H226" s="18">
        <v>1773741.96</v>
      </c>
      <c r="I226" s="18"/>
      <c r="J226" s="18"/>
      <c r="K226" s="18"/>
      <c r="L226" s="19">
        <f t="shared" si="2"/>
        <v>1797081.63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156003.44</v>
      </c>
      <c r="G227" s="18">
        <v>65767.710000000006</v>
      </c>
      <c r="H227" s="18">
        <f>6401+81428.73</f>
        <v>87829.73</v>
      </c>
      <c r="I227" s="18">
        <f>54570-16809.28</f>
        <v>37760.720000000001</v>
      </c>
      <c r="J227" s="18">
        <v>441.74</v>
      </c>
      <c r="K227" s="18"/>
      <c r="L227" s="19">
        <f>SUM(F227:K227)</f>
        <v>347803.33999999997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19589880.059999999</v>
      </c>
      <c r="G229" s="41">
        <f>SUM(G215:G228)</f>
        <v>9362475.9700000007</v>
      </c>
      <c r="H229" s="41">
        <f>SUM(H215:H228)</f>
        <v>6334095.9000000004</v>
      </c>
      <c r="I229" s="41">
        <f>SUM(I215:I228)</f>
        <v>599001.57000000007</v>
      </c>
      <c r="J229" s="41">
        <f>SUM(J215:J228)</f>
        <v>8920.0300000000007</v>
      </c>
      <c r="K229" s="41">
        <f t="shared" si="3"/>
        <v>515259.18999999994</v>
      </c>
      <c r="L229" s="41">
        <f t="shared" si="3"/>
        <v>36409632.719999999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14621084.53+76968.06</f>
        <v>14698052.59</v>
      </c>
      <c r="G233" s="18">
        <f>7211423.49-588071.06</f>
        <v>6623352.4299999997</v>
      </c>
      <c r="H233" s="18">
        <f>1334.66+250+1541966.19+5744.02+6319.51+700+481.25</f>
        <v>1556795.63</v>
      </c>
      <c r="I233" s="18">
        <f>132132.74+831.21+68761.04</f>
        <v>201724.99</v>
      </c>
      <c r="J233" s="18">
        <f>452</f>
        <v>452</v>
      </c>
      <c r="K233" s="18">
        <f>12323</f>
        <v>12323</v>
      </c>
      <c r="L233" s="19">
        <f>SUM(F233:K233)</f>
        <v>23092700.639999997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3064895.71+250864.54</f>
        <v>3315760.25</v>
      </c>
      <c r="G234" s="18">
        <f>1778459.32-0.4-72276.83</f>
        <v>1706182.09</v>
      </c>
      <c r="H234" s="18">
        <f>314151.31+560.6+5118114.63+1978.38-1644.16+0.37+147305.59</f>
        <v>5580466.7199999997</v>
      </c>
      <c r="I234" s="18">
        <f>6088.59+1205+14872.63+0.02</f>
        <v>22166.240000000002</v>
      </c>
      <c r="J234" s="18">
        <f>74.99+386.03-0.02</f>
        <v>461</v>
      </c>
      <c r="K234" s="18">
        <f>349</f>
        <v>349</v>
      </c>
      <c r="L234" s="19">
        <f>SUM(F234:K234)</f>
        <v>10625385.299999999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f>1817037.5</f>
        <v>1817037.5</v>
      </c>
      <c r="G235" s="18">
        <f>917757.81</f>
        <v>917757.81</v>
      </c>
      <c r="H235" s="18">
        <f>1694.83+116.63</f>
        <v>1811.46</v>
      </c>
      <c r="I235" s="18">
        <f>9313.83</f>
        <v>9313.83</v>
      </c>
      <c r="J235" s="18"/>
      <c r="K235" s="18"/>
      <c r="L235" s="19">
        <f>SUM(F235:K235)</f>
        <v>2745920.6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699334.93+29816.25</f>
        <v>729151.18</v>
      </c>
      <c r="G236" s="18">
        <f>156903.38+2302.14</f>
        <v>159205.52000000002</v>
      </c>
      <c r="H236" s="18">
        <f>576.95+115782.8+11306.21+8579.7+719+590+12737.67</f>
        <v>150292.33000000002</v>
      </c>
      <c r="I236" s="18">
        <f>50248.61+19359.11+42301.11+442.95</f>
        <v>112351.78</v>
      </c>
      <c r="J236" s="18">
        <f>24009.76</f>
        <v>24009.759999999998</v>
      </c>
      <c r="K236" s="18">
        <f>35216.52+16000+118591.89+59000</f>
        <v>228808.41</v>
      </c>
      <c r="L236" s="19">
        <f>SUM(F236:K236)</f>
        <v>1403818.98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1567278.82+146649.84</f>
        <v>1713928.6600000001</v>
      </c>
      <c r="G238" s="18">
        <f>751476.84+76030.68</f>
        <v>827507.52</v>
      </c>
      <c r="H238" s="18">
        <f>258020.61+826.09+259222.63</f>
        <v>518069.32999999996</v>
      </c>
      <c r="I238" s="18"/>
      <c r="J238" s="18"/>
      <c r="K238" s="18">
        <f>957067.34</f>
        <v>957067.34</v>
      </c>
      <c r="L238" s="19">
        <f t="shared" ref="L238:L244" si="4">SUM(F238:K238)</f>
        <v>4016572.85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338145.72+25238.07</f>
        <v>363383.79</v>
      </c>
      <c r="G239" s="18">
        <f>184563.5+18272+9161.9+12005.51</f>
        <v>224002.91</v>
      </c>
      <c r="H239" s="18">
        <f>157.27</f>
        <v>157.27000000000001</v>
      </c>
      <c r="I239" s="18">
        <f>279.64+20741.58+1137.46+1612.5</f>
        <v>23771.18</v>
      </c>
      <c r="J239" s="18"/>
      <c r="K239" s="18">
        <f>12.9</f>
        <v>12.9</v>
      </c>
      <c r="L239" s="19">
        <f t="shared" si="4"/>
        <v>611328.05000000005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391920.86</v>
      </c>
      <c r="G240" s="18">
        <v>203439.91</v>
      </c>
      <c r="H240" s="18">
        <f>20969.42+71540.94</f>
        <v>92510.36</v>
      </c>
      <c r="I240" s="18">
        <v>579.62</v>
      </c>
      <c r="J240" s="18"/>
      <c r="K240" s="18">
        <v>5062.09</v>
      </c>
      <c r="L240" s="19">
        <f t="shared" si="4"/>
        <v>693512.84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2097327.98</f>
        <v>2097327.98</v>
      </c>
      <c r="G241" s="18">
        <f>1034353.68</f>
        <v>1034353.68</v>
      </c>
      <c r="H241" s="18">
        <f>30308.53+2232.6+2127.05+102.31+2498.7</f>
        <v>37269.189999999995</v>
      </c>
      <c r="I241" s="18">
        <f>579.26+150.5</f>
        <v>729.76</v>
      </c>
      <c r="J241" s="18"/>
      <c r="K241" s="18">
        <f>12450+8296.48</f>
        <v>20746.48</v>
      </c>
      <c r="L241" s="19">
        <f t="shared" si="4"/>
        <v>3190427.09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283809.03000000003</v>
      </c>
      <c r="G242" s="18">
        <v>155534.71</v>
      </c>
      <c r="H242" s="18">
        <v>39391.47</v>
      </c>
      <c r="I242" s="18">
        <v>8168.84</v>
      </c>
      <c r="J242" s="18"/>
      <c r="K242" s="18">
        <v>55095.9</v>
      </c>
      <c r="L242" s="19">
        <f t="shared" si="4"/>
        <v>541999.94999999995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>
        <f>24077.48+23698.06+107345+13915.14+4066987.67</f>
        <v>4236023.3499999996</v>
      </c>
      <c r="I243" s="18">
        <f>119+282258.3+624781.86+405.25+10767.72</f>
        <v>918332.12999999989</v>
      </c>
      <c r="J243" s="18">
        <v>5021</v>
      </c>
      <c r="K243" s="18">
        <v>96.75</v>
      </c>
      <c r="L243" s="19">
        <f t="shared" si="4"/>
        <v>5159473.2299999995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13814.29</v>
      </c>
      <c r="G244" s="18">
        <v>5237.57</v>
      </c>
      <c r="H244" s="18">
        <v>1551822.08</v>
      </c>
      <c r="I244" s="18"/>
      <c r="J244" s="18"/>
      <c r="K244" s="18"/>
      <c r="L244" s="19">
        <f t="shared" si="4"/>
        <v>1570873.9400000002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319435.62</v>
      </c>
      <c r="G245" s="18">
        <v>134667.22</v>
      </c>
      <c r="H245" s="18">
        <f>4704.2+166735.03</f>
        <v>171439.23</v>
      </c>
      <c r="I245" s="18">
        <f>63127.5-34418.99</f>
        <v>28708.510000000002</v>
      </c>
      <c r="J245" s="18">
        <v>904.51</v>
      </c>
      <c r="K245" s="18"/>
      <c r="L245" s="19">
        <f>SUM(F245:K245)</f>
        <v>655155.09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25743621.75</v>
      </c>
      <c r="G247" s="41">
        <f t="shared" si="5"/>
        <v>11991241.370000001</v>
      </c>
      <c r="H247" s="41">
        <f t="shared" si="5"/>
        <v>13936048.42</v>
      </c>
      <c r="I247" s="41">
        <f t="shared" si="5"/>
        <v>1325846.8799999999</v>
      </c>
      <c r="J247" s="41">
        <f t="shared" si="5"/>
        <v>30848.269999999997</v>
      </c>
      <c r="K247" s="41">
        <f t="shared" si="5"/>
        <v>1279561.8699999999</v>
      </c>
      <c r="L247" s="41">
        <f t="shared" si="5"/>
        <v>54307168.559999995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35715.370000000003</v>
      </c>
      <c r="G251" s="18">
        <v>14471.7</v>
      </c>
      <c r="H251" s="18">
        <f>833.06+1243.9+1177.8+192</f>
        <v>3446.76</v>
      </c>
      <c r="I251" s="18">
        <f>732.59+782.52+3368.56</f>
        <v>4883.67</v>
      </c>
      <c r="J251" s="18"/>
      <c r="K251" s="18"/>
      <c r="L251" s="19">
        <f t="shared" si="6"/>
        <v>58517.500000000007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35715.370000000003</v>
      </c>
      <c r="G256" s="41">
        <f t="shared" si="7"/>
        <v>14471.7</v>
      </c>
      <c r="H256" s="41">
        <f t="shared" si="7"/>
        <v>3446.76</v>
      </c>
      <c r="I256" s="41">
        <f t="shared" si="7"/>
        <v>4883.67</v>
      </c>
      <c r="J256" s="41">
        <f t="shared" si="7"/>
        <v>0</v>
      </c>
      <c r="K256" s="41">
        <f t="shared" si="7"/>
        <v>0</v>
      </c>
      <c r="L256" s="41">
        <f>SUM(F256:K256)</f>
        <v>58517.500000000007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82430182.859999999</v>
      </c>
      <c r="G257" s="41">
        <f t="shared" si="8"/>
        <v>39706715.300000012</v>
      </c>
      <c r="H257" s="41">
        <f t="shared" si="8"/>
        <v>27346309.640000004</v>
      </c>
      <c r="I257" s="41">
        <f t="shared" si="8"/>
        <v>2954377.38</v>
      </c>
      <c r="J257" s="41">
        <f t="shared" si="8"/>
        <v>43396.789999999994</v>
      </c>
      <c r="K257" s="41">
        <f t="shared" si="8"/>
        <v>2647872.37</v>
      </c>
      <c r="L257" s="41">
        <f t="shared" si="8"/>
        <v>155128854.34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8990297.7599999998</v>
      </c>
      <c r="L260" s="19">
        <f>SUM(F260:K260)</f>
        <v>8990297.7599999998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4266685.01</v>
      </c>
      <c r="L261" s="19">
        <f>SUM(F261:K261)</f>
        <v>4266685.01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450822.58</v>
      </c>
      <c r="L266" s="19">
        <f t="shared" si="9"/>
        <v>450822.58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1072245.51</v>
      </c>
      <c r="L268" s="19">
        <f t="shared" si="9"/>
        <v>1072245.51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14780050.859999999</v>
      </c>
      <c r="L270" s="41">
        <f t="shared" si="9"/>
        <v>14780050.859999999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82430182.859999999</v>
      </c>
      <c r="G271" s="42">
        <f t="shared" si="11"/>
        <v>39706715.300000012</v>
      </c>
      <c r="H271" s="42">
        <f t="shared" si="11"/>
        <v>27346309.640000004</v>
      </c>
      <c r="I271" s="42">
        <f t="shared" si="11"/>
        <v>2954377.38</v>
      </c>
      <c r="J271" s="42">
        <f t="shared" si="11"/>
        <v>43396.789999999994</v>
      </c>
      <c r="K271" s="42">
        <f t="shared" si="11"/>
        <v>17427923.23</v>
      </c>
      <c r="L271" s="42">
        <f t="shared" si="11"/>
        <v>169908905.19999999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607837.92000000004</v>
      </c>
      <c r="G276" s="18">
        <v>281505.53000000003</v>
      </c>
      <c r="H276" s="18">
        <v>33034.53</v>
      </c>
      <c r="I276" s="18">
        <v>32594.74</v>
      </c>
      <c r="J276" s="18">
        <v>14458.12</v>
      </c>
      <c r="K276" s="18"/>
      <c r="L276" s="19">
        <f>SUM(F276:K276)</f>
        <v>969430.84000000008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5765550.8799999999</v>
      </c>
      <c r="G277" s="18">
        <v>2732835.4099999992</v>
      </c>
      <c r="H277" s="18">
        <v>770227.03</v>
      </c>
      <c r="I277" s="18">
        <v>510990.62</v>
      </c>
      <c r="J277" s="18">
        <v>116704.84</v>
      </c>
      <c r="K277" s="18"/>
      <c r="L277" s="19">
        <f>SUM(F277:K277)</f>
        <v>9896308.7799999975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505862.28</v>
      </c>
      <c r="G279" s="18">
        <v>103063.95</v>
      </c>
      <c r="H279" s="18">
        <v>40216.839999999997</v>
      </c>
      <c r="I279" s="18">
        <v>17732.16</v>
      </c>
      <c r="J279" s="18">
        <v>3266.22</v>
      </c>
      <c r="K279" s="18"/>
      <c r="L279" s="19">
        <f>SUM(F279:K279)</f>
        <v>670141.44999999995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206054.28</v>
      </c>
      <c r="G281" s="18">
        <v>109080.2</v>
      </c>
      <c r="H281" s="18"/>
      <c r="I281" s="18"/>
      <c r="J281" s="18"/>
      <c r="K281" s="18"/>
      <c r="L281" s="19">
        <f t="shared" ref="L281:L287" si="12">SUM(F281:K281)</f>
        <v>315134.48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175.49</v>
      </c>
      <c r="G282" s="18">
        <v>935.37</v>
      </c>
      <c r="H282" s="18">
        <v>1080</v>
      </c>
      <c r="I282" s="18">
        <v>3866.57</v>
      </c>
      <c r="J282" s="18"/>
      <c r="K282" s="18"/>
      <c r="L282" s="19">
        <f t="shared" si="12"/>
        <v>6057.43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265519.76</v>
      </c>
      <c r="G283" s="18">
        <v>121513.76</v>
      </c>
      <c r="H283" s="18">
        <v>5733.02</v>
      </c>
      <c r="I283" s="18">
        <v>90.35</v>
      </c>
      <c r="J283" s="18">
        <v>838.06</v>
      </c>
      <c r="K283" s="18"/>
      <c r="L283" s="19">
        <f t="shared" si="12"/>
        <v>393694.95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150</v>
      </c>
      <c r="I288" s="18"/>
      <c r="J288" s="18">
        <v>20934.830000000002</v>
      </c>
      <c r="K288" s="18"/>
      <c r="L288" s="19">
        <f>SUM(F288:K288)</f>
        <v>21084.83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7351000.6100000003</v>
      </c>
      <c r="G290" s="42">
        <f t="shared" si="13"/>
        <v>3348934.2199999997</v>
      </c>
      <c r="H290" s="42">
        <f t="shared" si="13"/>
        <v>850441.42</v>
      </c>
      <c r="I290" s="42">
        <f t="shared" si="13"/>
        <v>565274.43999999994</v>
      </c>
      <c r="J290" s="42">
        <f t="shared" si="13"/>
        <v>156202.07</v>
      </c>
      <c r="K290" s="42">
        <f t="shared" si="13"/>
        <v>0</v>
      </c>
      <c r="L290" s="41">
        <f t="shared" si="13"/>
        <v>12271852.759999996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61095.14</v>
      </c>
      <c r="G295" s="18">
        <v>26860.11</v>
      </c>
      <c r="H295" s="18">
        <v>26273.18</v>
      </c>
      <c r="I295" s="18">
        <v>2090.11</v>
      </c>
      <c r="J295" s="18">
        <v>2036.54</v>
      </c>
      <c r="K295" s="18"/>
      <c r="L295" s="19">
        <f>SUM(F295:K295)</f>
        <v>118355.07999999999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1186025.78</v>
      </c>
      <c r="G296" s="18">
        <v>738721.29</v>
      </c>
      <c r="H296" s="18">
        <v>62043.3</v>
      </c>
      <c r="I296" s="18">
        <v>44998.86</v>
      </c>
      <c r="J296" s="18">
        <v>47554.58</v>
      </c>
      <c r="K296" s="18"/>
      <c r="L296" s="19">
        <f>SUM(F296:K296)</f>
        <v>2079343.8100000003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171493.21</v>
      </c>
      <c r="G298" s="18">
        <v>46615.69</v>
      </c>
      <c r="H298" s="18">
        <v>6089.12</v>
      </c>
      <c r="I298" s="18">
        <v>4817.8599999999997</v>
      </c>
      <c r="J298" s="18">
        <v>11572.21</v>
      </c>
      <c r="K298" s="18"/>
      <c r="L298" s="19">
        <f>SUM(F298:K298)</f>
        <v>240588.08999999997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8643.58</v>
      </c>
      <c r="G300" s="18">
        <v>3667.19</v>
      </c>
      <c r="H300" s="18"/>
      <c r="I300" s="18"/>
      <c r="J300" s="18"/>
      <c r="K300" s="18"/>
      <c r="L300" s="19">
        <f t="shared" ref="L300:L306" si="14">SUM(F300:K300)</f>
        <v>12310.77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102.38</v>
      </c>
      <c r="G301" s="18">
        <v>27.15</v>
      </c>
      <c r="H301" s="18">
        <v>630</v>
      </c>
      <c r="I301" s="18">
        <v>2255.5100000000002</v>
      </c>
      <c r="J301" s="18"/>
      <c r="K301" s="18"/>
      <c r="L301" s="19">
        <f t="shared" si="14"/>
        <v>3015.04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43055.140000000007</v>
      </c>
      <c r="G302" s="18">
        <v>20366.89</v>
      </c>
      <c r="H302" s="18">
        <v>179.94</v>
      </c>
      <c r="I302" s="18">
        <v>2.84</v>
      </c>
      <c r="J302" s="18">
        <v>26.3</v>
      </c>
      <c r="K302" s="18"/>
      <c r="L302" s="19">
        <f t="shared" si="14"/>
        <v>63631.110000000008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>
        <v>1250</v>
      </c>
      <c r="I307" s="18"/>
      <c r="J307" s="18">
        <v>11359</v>
      </c>
      <c r="K307" s="18"/>
      <c r="L307" s="19">
        <f>SUM(F307:K307)</f>
        <v>12609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1470415.2299999997</v>
      </c>
      <c r="G309" s="42">
        <f t="shared" si="15"/>
        <v>836258.32000000007</v>
      </c>
      <c r="H309" s="42">
        <f t="shared" si="15"/>
        <v>96465.540000000008</v>
      </c>
      <c r="I309" s="42">
        <f t="shared" si="15"/>
        <v>54165.18</v>
      </c>
      <c r="J309" s="42">
        <f t="shared" si="15"/>
        <v>72548.63</v>
      </c>
      <c r="K309" s="42">
        <f t="shared" si="15"/>
        <v>0</v>
      </c>
      <c r="L309" s="41">
        <f t="shared" si="15"/>
        <v>2529852.9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67329.8</v>
      </c>
      <c r="G314" s="18">
        <v>11144</v>
      </c>
      <c r="H314" s="18">
        <v>131169.43</v>
      </c>
      <c r="I314" s="18">
        <v>39819.33</v>
      </c>
      <c r="J314" s="18">
        <v>17163.099999999999</v>
      </c>
      <c r="K314" s="18">
        <v>42751.199999999997</v>
      </c>
      <c r="L314" s="19">
        <f>SUM(F314:K314)</f>
        <v>309376.86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1609727.01</v>
      </c>
      <c r="G315" s="18">
        <v>953948.60000000009</v>
      </c>
      <c r="H315" s="18">
        <v>42253.340000000004</v>
      </c>
      <c r="I315" s="18">
        <v>19548.54</v>
      </c>
      <c r="J315" s="18">
        <v>13062.84</v>
      </c>
      <c r="K315" s="18"/>
      <c r="L315" s="19">
        <f>SUM(F315:K315)</f>
        <v>2638540.33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39534.339999999997</v>
      </c>
      <c r="G316" s="18">
        <v>3048.57</v>
      </c>
      <c r="H316" s="18">
        <v>15699.6</v>
      </c>
      <c r="I316" s="18">
        <v>123412.63</v>
      </c>
      <c r="J316" s="18">
        <v>306061.06</v>
      </c>
      <c r="K316" s="18">
        <v>700</v>
      </c>
      <c r="L316" s="19">
        <f>SUM(F316:K316)</f>
        <v>488456.2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32721.200000000001</v>
      </c>
      <c r="G317" s="18">
        <v>9903.91</v>
      </c>
      <c r="H317" s="18">
        <v>26791.759999999998</v>
      </c>
      <c r="I317" s="18">
        <v>165.52</v>
      </c>
      <c r="J317" s="18">
        <v>9855.59</v>
      </c>
      <c r="K317" s="18"/>
      <c r="L317" s="19">
        <f>SUM(F317:K317)</f>
        <v>79437.98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56565.15</v>
      </c>
      <c r="G319" s="18">
        <v>21603.42</v>
      </c>
      <c r="H319" s="18">
        <v>20696.54</v>
      </c>
      <c r="I319" s="18">
        <v>10513.72</v>
      </c>
      <c r="J319" s="18"/>
      <c r="K319" s="18">
        <v>1646.55</v>
      </c>
      <c r="L319" s="19">
        <f t="shared" ref="L319:L325" si="16">SUM(F319:K319)</f>
        <v>111025.38000000002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834.63</v>
      </c>
      <c r="G320" s="18">
        <v>1822.3</v>
      </c>
      <c r="H320" s="18">
        <v>33292.49</v>
      </c>
      <c r="I320" s="18">
        <v>4618.42</v>
      </c>
      <c r="J320" s="18"/>
      <c r="K320" s="18">
        <v>19126.310000000001</v>
      </c>
      <c r="L320" s="19">
        <f t="shared" si="16"/>
        <v>59694.149999999994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10774.75</v>
      </c>
      <c r="G321" s="18">
        <v>5096.6799999999994</v>
      </c>
      <c r="H321" s="18">
        <v>7001.89</v>
      </c>
      <c r="I321" s="18">
        <v>0.71</v>
      </c>
      <c r="J321" s="18">
        <v>6.62</v>
      </c>
      <c r="K321" s="18"/>
      <c r="L321" s="19">
        <f t="shared" si="16"/>
        <v>22880.649999999998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>
        <v>379.14</v>
      </c>
      <c r="J322" s="18"/>
      <c r="K322" s="18"/>
      <c r="L322" s="19">
        <f t="shared" si="16"/>
        <v>379.14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>
        <v>2700</v>
      </c>
      <c r="I326" s="18"/>
      <c r="J326" s="18">
        <v>18969.02</v>
      </c>
      <c r="K326" s="18"/>
      <c r="L326" s="19">
        <f>SUM(F326:K326)</f>
        <v>21669.02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1817486.88</v>
      </c>
      <c r="G328" s="42">
        <f t="shared" si="17"/>
        <v>1006567.4800000002</v>
      </c>
      <c r="H328" s="42">
        <f t="shared" si="17"/>
        <v>279605.05000000005</v>
      </c>
      <c r="I328" s="42">
        <f t="shared" si="17"/>
        <v>198458.01</v>
      </c>
      <c r="J328" s="42">
        <f t="shared" si="17"/>
        <v>365118.23000000004</v>
      </c>
      <c r="K328" s="42">
        <f t="shared" si="17"/>
        <v>64224.06</v>
      </c>
      <c r="L328" s="41">
        <f t="shared" si="17"/>
        <v>3731459.71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10141.56</v>
      </c>
      <c r="I332" s="18">
        <v>1482.3</v>
      </c>
      <c r="J332" s="18"/>
      <c r="K332" s="18"/>
      <c r="L332" s="19">
        <f t="shared" ref="L332:L337" si="18">SUM(F332:K332)</f>
        <v>11623.859999999999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198202.25</v>
      </c>
      <c r="G333" s="18">
        <v>35586.31</v>
      </c>
      <c r="H333" s="18">
        <v>4177.92</v>
      </c>
      <c r="I333" s="18">
        <v>74096.03</v>
      </c>
      <c r="J333" s="18">
        <v>8447.9699999999993</v>
      </c>
      <c r="K333" s="18"/>
      <c r="L333" s="19">
        <f t="shared" si="18"/>
        <v>320510.48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>
        <v>20680.689999999999</v>
      </c>
      <c r="H336" s="18">
        <v>404253.65</v>
      </c>
      <c r="I336" s="18"/>
      <c r="J336" s="18"/>
      <c r="K336" s="18"/>
      <c r="L336" s="19">
        <f t="shared" si="18"/>
        <v>424934.34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198202.25</v>
      </c>
      <c r="G337" s="41">
        <f t="shared" si="19"/>
        <v>56267</v>
      </c>
      <c r="H337" s="41">
        <f t="shared" si="19"/>
        <v>418573.13</v>
      </c>
      <c r="I337" s="41">
        <f t="shared" si="19"/>
        <v>75578.33</v>
      </c>
      <c r="J337" s="41">
        <f t="shared" si="19"/>
        <v>8447.9699999999993</v>
      </c>
      <c r="K337" s="41">
        <f t="shared" si="19"/>
        <v>0</v>
      </c>
      <c r="L337" s="41">
        <f t="shared" si="18"/>
        <v>757068.67999999993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10837104.969999999</v>
      </c>
      <c r="G338" s="41">
        <f t="shared" si="20"/>
        <v>5248027.0200000005</v>
      </c>
      <c r="H338" s="41">
        <f t="shared" si="20"/>
        <v>1645085.1400000001</v>
      </c>
      <c r="I338" s="41">
        <f t="shared" si="20"/>
        <v>893475.96</v>
      </c>
      <c r="J338" s="41">
        <f t="shared" si="20"/>
        <v>602316.9</v>
      </c>
      <c r="K338" s="41">
        <f t="shared" si="20"/>
        <v>64224.06</v>
      </c>
      <c r="L338" s="41">
        <f t="shared" si="20"/>
        <v>19290234.049999997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240406.81</v>
      </c>
      <c r="L344" s="19">
        <f t="shared" ref="L344:L350" si="21">SUM(F344:K344)</f>
        <v>240406.81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240406.81</v>
      </c>
      <c r="L351" s="41">
        <f>SUM(L341:L350)</f>
        <v>240406.81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10837104.969999999</v>
      </c>
      <c r="G352" s="41">
        <f>G338</f>
        <v>5248027.0200000005</v>
      </c>
      <c r="H352" s="41">
        <f>H338</f>
        <v>1645085.1400000001</v>
      </c>
      <c r="I352" s="41">
        <f>I338</f>
        <v>893475.96</v>
      </c>
      <c r="J352" s="41">
        <f>J338</f>
        <v>602316.9</v>
      </c>
      <c r="K352" s="47">
        <f>K338+K351</f>
        <v>304630.87</v>
      </c>
      <c r="L352" s="41">
        <f>L338+L351</f>
        <v>19530640.859999996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560227.2+158077.34-184.02</f>
        <v>718120.5199999999</v>
      </c>
      <c r="G358" s="18">
        <f>238981.39+98104.05</f>
        <v>337085.44</v>
      </c>
      <c r="H358" s="18">
        <f>267321.75+101.5+527.8+604.41+15494.85+10945.23+45759.88+1748.92+20753.01+368.8+2049.76+658.95</f>
        <v>366334.85999999993</v>
      </c>
      <c r="I358" s="18">
        <f>-397096.35+8333.33+8333.33+1090067.71+4332.29+231403.44</f>
        <v>945373.75</v>
      </c>
      <c r="J358" s="18">
        <f>2799+8147.98+3263.57</f>
        <v>14210.55</v>
      </c>
      <c r="K358" s="18">
        <v>16666.669999999998</v>
      </c>
      <c r="L358" s="13">
        <f>SUM(F358:K358)</f>
        <v>2397791.7899999996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487655.88+77617.41</f>
        <v>565273.29</v>
      </c>
      <c r="G359" s="18">
        <f>189063.31+48169.98</f>
        <v>237233.29</v>
      </c>
      <c r="H359" s="18">
        <f>16666.67+161.86+7608.11+5374.21+22468.51+858.73+10189.92+181.08+1006.45+323.55</f>
        <v>64839.090000000004</v>
      </c>
      <c r="I359" s="18">
        <f>100.09+8333.33+8333.34+535233.14+2127.19+113621.19</f>
        <v>667748.28</v>
      </c>
      <c r="J359" s="18">
        <f>4000.73+1602.44</f>
        <v>5603.17</v>
      </c>
      <c r="K359" s="18">
        <v>16666.669999999998</v>
      </c>
      <c r="L359" s="19">
        <f>SUM(F359:K359)</f>
        <v>1557363.79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492696.01+61739.94</f>
        <v>554435.94999999995</v>
      </c>
      <c r="G360" s="18">
        <f>208702.36+38316.29</f>
        <v>247018.65</v>
      </c>
      <c r="H360" s="18">
        <f>16666.66+211.62+6051.79+4274.86+17872.34+683.07+8105.46+144.04+800.57+257.36</f>
        <v>55067.770000000004</v>
      </c>
      <c r="I360" s="18">
        <f>-2891.09+8333.34+8333.33+425745.49+1692.05+90378.76</f>
        <v>531591.88</v>
      </c>
      <c r="J360" s="18">
        <f>3182.34+1274.65</f>
        <v>4456.99</v>
      </c>
      <c r="K360" s="18">
        <v>16666.66</v>
      </c>
      <c r="L360" s="19">
        <f>SUM(F360:K360)</f>
        <v>1409237.9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1837829.76</v>
      </c>
      <c r="G362" s="47">
        <f t="shared" si="22"/>
        <v>821337.38</v>
      </c>
      <c r="H362" s="47">
        <f t="shared" si="22"/>
        <v>486241.72</v>
      </c>
      <c r="I362" s="47">
        <f t="shared" si="22"/>
        <v>2144713.91</v>
      </c>
      <c r="J362" s="47">
        <f t="shared" si="22"/>
        <v>24270.71</v>
      </c>
      <c r="K362" s="47">
        <f t="shared" si="22"/>
        <v>50000</v>
      </c>
      <c r="L362" s="47">
        <f t="shared" si="22"/>
        <v>5364393.4799999995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854356.77-0.02-26980.42</f>
        <v>827376.33</v>
      </c>
      <c r="G367" s="18">
        <f>601543.42+0.01</f>
        <v>601543.43000000005</v>
      </c>
      <c r="H367" s="18">
        <f>475151.06+0.01</f>
        <v>475151.07</v>
      </c>
      <c r="I367" s="56">
        <f>SUM(F367:H367)</f>
        <v>1904070.83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117997.42</v>
      </c>
      <c r="G368" s="63">
        <v>66204.850000000006</v>
      </c>
      <c r="H368" s="63">
        <v>56440.81</v>
      </c>
      <c r="I368" s="56">
        <f>SUM(F368:H368)</f>
        <v>240643.08000000002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945373.75</v>
      </c>
      <c r="G369" s="47">
        <f>SUM(G367:G368)</f>
        <v>667748.28</v>
      </c>
      <c r="H369" s="47">
        <f>SUM(H367:H368)</f>
        <v>531591.88</v>
      </c>
      <c r="I369" s="47">
        <f>SUM(I367:I368)</f>
        <v>2144713.91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-10523</v>
      </c>
      <c r="I395" s="18"/>
      <c r="J395" s="24" t="s">
        <v>286</v>
      </c>
      <c r="K395" s="24" t="s">
        <v>286</v>
      </c>
      <c r="L395" s="56">
        <f t="shared" ref="L395:L400" si="26">SUM(F395:K395)</f>
        <v>-10523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48142</v>
      </c>
      <c r="H396" s="18">
        <v>-420</v>
      </c>
      <c r="I396" s="18"/>
      <c r="J396" s="24" t="s">
        <v>286</v>
      </c>
      <c r="K396" s="24" t="s">
        <v>286</v>
      </c>
      <c r="L396" s="56">
        <f t="shared" si="26"/>
        <v>47722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402680.58</v>
      </c>
      <c r="H397" s="18">
        <v>974</v>
      </c>
      <c r="I397" s="18"/>
      <c r="J397" s="24" t="s">
        <v>286</v>
      </c>
      <c r="K397" s="24" t="s">
        <v>286</v>
      </c>
      <c r="L397" s="56">
        <f t="shared" si="26"/>
        <v>403654.58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62-218</f>
        <v>-156</v>
      </c>
      <c r="I400" s="18"/>
      <c r="J400" s="24" t="s">
        <v>286</v>
      </c>
      <c r="K400" s="24" t="s">
        <v>286</v>
      </c>
      <c r="L400" s="56">
        <f t="shared" si="26"/>
        <v>-156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450822.58</v>
      </c>
      <c r="H401" s="47">
        <f>SUM(H395:H400)</f>
        <v>-10125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440697.58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450822.58</v>
      </c>
      <c r="H408" s="47">
        <f>H393+H401+H407</f>
        <v>-10125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440697.58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>
        <v>723662</v>
      </c>
      <c r="L421" s="56">
        <f t="shared" ref="L421:L426" si="29">SUM(F421:K421)</f>
        <v>723662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723662</v>
      </c>
      <c r="L427" s="47">
        <f t="shared" si="30"/>
        <v>723662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723662</v>
      </c>
      <c r="L434" s="47">
        <f t="shared" si="32"/>
        <v>723662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1206754.96</v>
      </c>
      <c r="H439" s="18"/>
      <c r="I439" s="56">
        <f t="shared" ref="I439:I445" si="33">SUM(F439:H439)</f>
        <v>1206754.96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1206754.96</v>
      </c>
      <c r="H446" s="13">
        <f>SUM(H439:H445)</f>
        <v>0</v>
      </c>
      <c r="I446" s="13">
        <f>SUM(I439:I445)</f>
        <v>1206754.96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272839.42</v>
      </c>
      <c r="H448" s="18"/>
      <c r="I448" s="56">
        <f>SUM(F448:H448)</f>
        <v>272839.42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272839.42</v>
      </c>
      <c r="H452" s="72">
        <f>SUM(H448:H451)</f>
        <v>0</v>
      </c>
      <c r="I452" s="72">
        <f>SUM(I448:I451)</f>
        <v>272839.42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933915.54</v>
      </c>
      <c r="H459" s="18"/>
      <c r="I459" s="56">
        <f t="shared" si="34"/>
        <v>933915.54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933915.54</v>
      </c>
      <c r="H460" s="83">
        <f>SUM(H454:H459)</f>
        <v>0</v>
      </c>
      <c r="I460" s="83">
        <f>SUM(I454:I459)</f>
        <v>933915.54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1206754.96</v>
      </c>
      <c r="H461" s="42">
        <f>H452+H460</f>
        <v>0</v>
      </c>
      <c r="I461" s="42">
        <f>I452+I460</f>
        <v>1206754.96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749160.92</v>
      </c>
      <c r="G465" s="18">
        <v>338630.1</v>
      </c>
      <c r="H465" s="18">
        <v>1031648.47</v>
      </c>
      <c r="I465" s="18"/>
      <c r="J465" s="18">
        <v>1216879.96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169633847.18000001</v>
      </c>
      <c r="G468" s="18">
        <v>5609618.2300000004</v>
      </c>
      <c r="H468" s="18">
        <v>19593296.82</v>
      </c>
      <c r="I468" s="18"/>
      <c r="J468" s="18">
        <f>336195.6+48141.51-10125+0.89+66484.58</f>
        <v>440697.58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169633847.18000001</v>
      </c>
      <c r="G470" s="53">
        <f>SUM(G468:G469)</f>
        <v>5609618.2300000004</v>
      </c>
      <c r="H470" s="53">
        <f>SUM(H468:H469)</f>
        <v>19593296.82</v>
      </c>
      <c r="I470" s="53">
        <f>SUM(I468:I469)</f>
        <v>0</v>
      </c>
      <c r="J470" s="53">
        <f>SUM(J468:J469)</f>
        <v>440697.58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169908905.19999999</v>
      </c>
      <c r="G472" s="18">
        <v>5364393.4800000004</v>
      </c>
      <c r="H472" s="18">
        <v>19530640.859999999</v>
      </c>
      <c r="I472" s="18"/>
      <c r="J472" s="18">
        <v>723662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169908905.19999999</v>
      </c>
      <c r="G474" s="53">
        <f>SUM(G472:G473)</f>
        <v>5364393.4800000004</v>
      </c>
      <c r="H474" s="53">
        <f>SUM(H472:H473)</f>
        <v>19530640.859999999</v>
      </c>
      <c r="I474" s="53">
        <f>SUM(I472:I473)</f>
        <v>0</v>
      </c>
      <c r="J474" s="53">
        <f>SUM(J472:J473)</f>
        <v>723662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474102.90000000596</v>
      </c>
      <c r="G476" s="53">
        <f>(G465+G470)- G474</f>
        <v>583854.84999999963</v>
      </c>
      <c r="H476" s="53">
        <f>(H465+H470)- H474</f>
        <v>1094304.4299999997</v>
      </c>
      <c r="I476" s="53">
        <f>(I465+I470)- I474</f>
        <v>0</v>
      </c>
      <c r="J476" s="53">
        <f>(J465+J470)- J474</f>
        <v>933915.54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7210495.1699999999</v>
      </c>
      <c r="G507" s="144">
        <v>15678.76</v>
      </c>
      <c r="H507" s="144">
        <v>395747.22</v>
      </c>
      <c r="I507" s="144">
        <v>6830426.7199999997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141142.85+257041.01+86645.24+6883742.37+33760.27+672792.3+614594.25+20217.6+193016.5+240822.45</f>
        <v>9143774.839999998</v>
      </c>
      <c r="G521" s="18">
        <f>720-113527.27+66699.9+4814846.26+10873.15+349334.35+348953.93+28895.33+124724.73+107856.55</f>
        <v>5739376.9299999997</v>
      </c>
      <c r="H521" s="18">
        <f>156.54+64.58+239709.93+70817.89+54468.68+151.2+66.28+314651.25+2000+4900+2.52+1238650.8+919.57+5000+513461.71</f>
        <v>2445020.9500000002</v>
      </c>
      <c r="I521" s="18">
        <f>12451.5+552.43+57448.26+2302.32+363.88+149.9</f>
        <v>73268.290000000008</v>
      </c>
      <c r="J521" s="18">
        <f>323.19+1097.99</f>
        <v>1421.18</v>
      </c>
      <c r="K521" s="18">
        <v>549</v>
      </c>
      <c r="L521" s="88">
        <f>SUM(F521:K521)</f>
        <v>17403411.189999998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8232.5+149940.59+50543.06+3430828.93+267861.24+311235.58+53215.63+128310.36</f>
        <v>4400167.8900000006</v>
      </c>
      <c r="G522" s="18">
        <f>420-66224.24+38908.28+2084732.66+147170.86+151825.1+17068.91+88508.85</f>
        <v>2462410.4200000004</v>
      </c>
      <c r="H522" s="18">
        <f>37.67+139830.79+41310.44+31773.4+88.2+38.66+118799.09+1354704.51+548.1+171432.42+735173.79+203.75+178933.62</f>
        <v>2772874.4400000004</v>
      </c>
      <c r="I522" s="18">
        <f>65.13+7263.38+322.25+8877.94+287.49+98.1</f>
        <v>16914.29</v>
      </c>
      <c r="J522" s="18">
        <f>188.53+593.36</f>
        <v>781.89</v>
      </c>
      <c r="K522" s="18"/>
      <c r="L522" s="88">
        <f>SUM(F522:K522)</f>
        <v>9653148.9299999997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324528.88+45846.2+11205.16+30129.98+17450.72+46414.79+27195.42+16857.02+307021.2+103492.93+2503191.26+13986+245781.64+425140.71+383.95+55021.02</f>
        <v>4173646.88</v>
      </c>
      <c r="G523" s="18">
        <f>206578.67+31329.26+5689.82+12395.32+12053.13+18306.73+15400.17+860-135602.02+79669.33+1614260.69+4508.7+113225.58+233767.86+269.17+16819.95</f>
        <v>2229532.36</v>
      </c>
      <c r="H523" s="18">
        <f>1644.16+77.14+286320.2+84588.03+65059.81+180.6+79.17+306728.67+560.6+3387671.16+334.22+6337.5+776469.64+868396.86+85576.97</f>
        <v>5870024.7300000004</v>
      </c>
      <c r="I523" s="18">
        <f>14872.63+659.85+6088.59+1205</f>
        <v>22826.07</v>
      </c>
      <c r="J523" s="18">
        <f>386.03+74.99</f>
        <v>461.02</v>
      </c>
      <c r="K523" s="18">
        <f>349</f>
        <v>349</v>
      </c>
      <c r="L523" s="88">
        <f>SUM(F523:K523)</f>
        <v>12296840.060000001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17717589.609999999</v>
      </c>
      <c r="G524" s="108">
        <f t="shared" ref="G524:L524" si="36">SUM(G521:G523)</f>
        <v>10431319.709999999</v>
      </c>
      <c r="H524" s="108">
        <f t="shared" si="36"/>
        <v>11087920.120000001</v>
      </c>
      <c r="I524" s="108">
        <f t="shared" si="36"/>
        <v>113008.65000000002</v>
      </c>
      <c r="J524" s="108">
        <f t="shared" si="36"/>
        <v>2664.09</v>
      </c>
      <c r="K524" s="108">
        <f t="shared" si="36"/>
        <v>898</v>
      </c>
      <c r="L524" s="89">
        <f t="shared" si="36"/>
        <v>39353400.18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125414.39+2928.64+473727.75+979685.75+506464.32</f>
        <v>2088220.85</v>
      </c>
      <c r="G526" s="18">
        <f>64372.69+224.05+190683.03+496026.68+267413.67+888.84+1955.22+2448.6</f>
        <v>1024012.7799999998</v>
      </c>
      <c r="H526" s="18">
        <f>233361.43+579.14+278602.3+2151.26+317371.29+144.34+20835+342.81</f>
        <v>853387.57</v>
      </c>
      <c r="I526" s="18">
        <f>140+111+433.52</f>
        <v>684.52</v>
      </c>
      <c r="J526" s="18"/>
      <c r="K526" s="18"/>
      <c r="L526" s="88">
        <f>SUM(F526:K526)</f>
        <v>3966305.7199999997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73158.39+154816.55+42279.1+36166.96</f>
        <v>306421</v>
      </c>
      <c r="G527" s="18">
        <f>37550.74+61558.04+17936.93+23088.21-56.73+655+776.25</f>
        <v>141508.43999999997</v>
      </c>
      <c r="H527" s="18">
        <f>6.31+136127.5+337.83+128802.27+151.76</f>
        <v>265425.67</v>
      </c>
      <c r="I527" s="18"/>
      <c r="J527" s="18"/>
      <c r="K527" s="18"/>
      <c r="L527" s="88">
        <f>SUM(F527:K527)</f>
        <v>713355.10999999987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149800.52+52551.08+132812.68+37350.62</f>
        <v>372514.89999999997</v>
      </c>
      <c r="G528" s="18">
        <f>76889.61+36109.78+44408.68+16540.71+824.99+506.25</f>
        <v>175280.02</v>
      </c>
      <c r="H528" s="18">
        <f>278737.26+691.75+208892.24+188.48+8378.36+16233.8+11767.57+12748.64</f>
        <v>537638.1</v>
      </c>
      <c r="I528" s="18"/>
      <c r="J528" s="18"/>
      <c r="K528" s="18"/>
      <c r="L528" s="88">
        <f>SUM(F528:K528)</f>
        <v>1085433.02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2767156.75</v>
      </c>
      <c r="G529" s="89">
        <f t="shared" ref="G529:L529" si="37">SUM(G526:G528)</f>
        <v>1340801.2399999998</v>
      </c>
      <c r="H529" s="89">
        <f t="shared" si="37"/>
        <v>1656451.3399999999</v>
      </c>
      <c r="I529" s="89">
        <f t="shared" si="37"/>
        <v>684.52</v>
      </c>
      <c r="J529" s="89">
        <f t="shared" si="37"/>
        <v>0</v>
      </c>
      <c r="K529" s="89">
        <f t="shared" si="37"/>
        <v>0</v>
      </c>
      <c r="L529" s="89">
        <f t="shared" si="37"/>
        <v>5765093.8499999996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58609.94</f>
        <v>58609.94</v>
      </c>
      <c r="G531" s="18">
        <f>25930.53</f>
        <v>25930.53</v>
      </c>
      <c r="H531" s="18">
        <f>115.88</f>
        <v>115.88</v>
      </c>
      <c r="I531" s="18"/>
      <c r="J531" s="18"/>
      <c r="K531" s="18"/>
      <c r="L531" s="88">
        <f>SUM(F531:K531)</f>
        <v>84656.35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34189.13</f>
        <v>34189.129999999997</v>
      </c>
      <c r="G532" s="18">
        <f>15126.14</f>
        <v>15126.14</v>
      </c>
      <c r="H532" s="18">
        <f>67.59</f>
        <v>67.59</v>
      </c>
      <c r="I532" s="18"/>
      <c r="J532" s="18"/>
      <c r="K532" s="18"/>
      <c r="L532" s="88">
        <f>SUM(F532:K532)</f>
        <v>49382.859999999993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70006.31</f>
        <v>70006.31</v>
      </c>
      <c r="G533" s="18">
        <f>30972.58</f>
        <v>30972.58</v>
      </c>
      <c r="H533" s="18">
        <f>13841</f>
        <v>13841</v>
      </c>
      <c r="I533" s="18"/>
      <c r="J533" s="18"/>
      <c r="K533" s="18"/>
      <c r="L533" s="88">
        <f>SUM(F533:K533)</f>
        <v>114819.89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162805.38</v>
      </c>
      <c r="G534" s="89">
        <f t="shared" ref="G534:L534" si="38">SUM(G531:G533)</f>
        <v>72029.25</v>
      </c>
      <c r="H534" s="89">
        <f t="shared" si="38"/>
        <v>14024.47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248859.09999999998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22496.08</f>
        <v>22496.080000000002</v>
      </c>
      <c r="I536" s="18"/>
      <c r="J536" s="18"/>
      <c r="K536" s="18"/>
      <c r="L536" s="88">
        <f>SUM(F536:K536)</f>
        <v>22496.080000000002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13122.72</f>
        <v>13122.72</v>
      </c>
      <c r="I537" s="18"/>
      <c r="J537" s="18"/>
      <c r="K537" s="18"/>
      <c r="L537" s="88">
        <f>SUM(F537:K537)</f>
        <v>13122.72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26870.32</f>
        <v>26870.32</v>
      </c>
      <c r="I538" s="18"/>
      <c r="J538" s="18"/>
      <c r="K538" s="18"/>
      <c r="L538" s="88">
        <f>SUM(F538:K538)</f>
        <v>26870.32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62489.120000000003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62489.120000000003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12111.21+4591.87+1249524.02</f>
        <v>1266227.1000000001</v>
      </c>
      <c r="I541" s="18"/>
      <c r="J541" s="18"/>
      <c r="K541" s="18"/>
      <c r="L541" s="88">
        <f>SUM(F541:K541)</f>
        <v>1266227.1000000001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f>7889.12+2991.1+813904.78</f>
        <v>824785</v>
      </c>
      <c r="I542" s="18"/>
      <c r="J542" s="18"/>
      <c r="K542" s="18"/>
      <c r="L542" s="88">
        <f>SUM(F542:K542)</f>
        <v>824785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9994.11+3789.19+1031076.01</f>
        <v>1044859.31</v>
      </c>
      <c r="I543" s="18"/>
      <c r="J543" s="18"/>
      <c r="K543" s="18"/>
      <c r="L543" s="88">
        <f>SUM(F543:K543)</f>
        <v>1044859.31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3135871.41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3135871.41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20647551.739999998</v>
      </c>
      <c r="G545" s="89">
        <f t="shared" ref="G545:L545" si="41">G524+G529+G534+G539+G544</f>
        <v>11844150.199999999</v>
      </c>
      <c r="H545" s="89">
        <f t="shared" si="41"/>
        <v>15956756.460000001</v>
      </c>
      <c r="I545" s="89">
        <f t="shared" si="41"/>
        <v>113693.17000000003</v>
      </c>
      <c r="J545" s="89">
        <f t="shared" si="41"/>
        <v>2664.09</v>
      </c>
      <c r="K545" s="89">
        <f t="shared" si="41"/>
        <v>898</v>
      </c>
      <c r="L545" s="89">
        <f t="shared" si="41"/>
        <v>48565713.659999996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17403411.189999998</v>
      </c>
      <c r="G549" s="87">
        <f>L526</f>
        <v>3966305.7199999997</v>
      </c>
      <c r="H549" s="87">
        <f>L531</f>
        <v>84656.35</v>
      </c>
      <c r="I549" s="87">
        <f>L536</f>
        <v>22496.080000000002</v>
      </c>
      <c r="J549" s="87">
        <f>L541</f>
        <v>1266227.1000000001</v>
      </c>
      <c r="K549" s="87">
        <f>SUM(F549:J549)</f>
        <v>22743096.439999998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9653148.9299999997</v>
      </c>
      <c r="G550" s="87">
        <f>L527</f>
        <v>713355.10999999987</v>
      </c>
      <c r="H550" s="87">
        <f>L532</f>
        <v>49382.859999999993</v>
      </c>
      <c r="I550" s="87">
        <f>L537</f>
        <v>13122.72</v>
      </c>
      <c r="J550" s="87">
        <f>L542</f>
        <v>824785</v>
      </c>
      <c r="K550" s="87">
        <f>SUM(F550:J550)</f>
        <v>11253794.619999999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12296840.060000001</v>
      </c>
      <c r="G551" s="87">
        <f>L528</f>
        <v>1085433.02</v>
      </c>
      <c r="H551" s="87">
        <f>L533</f>
        <v>114819.89</v>
      </c>
      <c r="I551" s="87">
        <f>L538</f>
        <v>26870.32</v>
      </c>
      <c r="J551" s="87">
        <f>L543</f>
        <v>1044859.31</v>
      </c>
      <c r="K551" s="87">
        <f>SUM(F551:J551)</f>
        <v>14568822.600000001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39353400.18</v>
      </c>
      <c r="G552" s="89">
        <f t="shared" si="42"/>
        <v>5765093.8499999996</v>
      </c>
      <c r="H552" s="89">
        <f t="shared" si="42"/>
        <v>248859.09999999998</v>
      </c>
      <c r="I552" s="89">
        <f t="shared" si="42"/>
        <v>62489.120000000003</v>
      </c>
      <c r="J552" s="89">
        <f t="shared" si="42"/>
        <v>3135871.41</v>
      </c>
      <c r="K552" s="89">
        <f t="shared" si="42"/>
        <v>48565713.659999996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f>3525681.6+422013.29</f>
        <v>3947694.89</v>
      </c>
      <c r="G557" s="18">
        <f>1413198.43+200682.37</f>
        <v>1613880.7999999998</v>
      </c>
      <c r="H557" s="18">
        <f>146894+110824.23+338+10174.36+351323.09</f>
        <v>619553.67999999993</v>
      </c>
      <c r="I557" s="18">
        <f>108950.92+238400.77+139390.56</f>
        <v>486742.25</v>
      </c>
      <c r="J557" s="18">
        <f>96981.85+5859.18+3715.73</f>
        <v>106556.76</v>
      </c>
      <c r="K557" s="18"/>
      <c r="L557" s="88">
        <f>SUM(F557:K557)</f>
        <v>6774428.379999999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f>95987.99+13235.22</f>
        <v>109223.21</v>
      </c>
      <c r="G558" s="18">
        <f>42826.51+6293.82</f>
        <v>49120.33</v>
      </c>
      <c r="H558" s="18">
        <f>11018.23</f>
        <v>11018.23</v>
      </c>
      <c r="I558" s="18">
        <f>2482.97+4371.58</f>
        <v>6854.5499999999993</v>
      </c>
      <c r="J558" s="18">
        <f>36127.41+116.53</f>
        <v>36243.94</v>
      </c>
      <c r="K558" s="18"/>
      <c r="L558" s="88">
        <f>SUM(F558:K558)</f>
        <v>212460.26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f>35860.56+3347.25</f>
        <v>39207.81</v>
      </c>
      <c r="G559" s="18">
        <f>9010.97+1591.73</f>
        <v>10602.699999999999</v>
      </c>
      <c r="H559" s="18">
        <v>2786.56</v>
      </c>
      <c r="I559" s="18">
        <v>1105.5899999999999</v>
      </c>
      <c r="J559" s="18">
        <v>29.47</v>
      </c>
      <c r="K559" s="18"/>
      <c r="L559" s="88">
        <f>SUM(F559:K559)</f>
        <v>53732.12999999999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4096125.91</v>
      </c>
      <c r="G560" s="108">
        <f t="shared" si="43"/>
        <v>1673603.8299999998</v>
      </c>
      <c r="H560" s="108">
        <f t="shared" si="43"/>
        <v>633358.47</v>
      </c>
      <c r="I560" s="108">
        <f t="shared" si="43"/>
        <v>494702.39</v>
      </c>
      <c r="J560" s="108">
        <f t="shared" si="43"/>
        <v>142830.17000000001</v>
      </c>
      <c r="K560" s="108">
        <f t="shared" si="43"/>
        <v>0</v>
      </c>
      <c r="L560" s="89">
        <f t="shared" si="43"/>
        <v>7040620.7699999986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1930496.64+84118.46</f>
        <v>2014615.0999999999</v>
      </c>
      <c r="G562" s="18">
        <f>1028150.23+37579.7</f>
        <v>1065729.93</v>
      </c>
      <c r="H562" s="18">
        <f>19174.59+12255+500+2530.69+193.95</f>
        <v>34654.229999999996</v>
      </c>
      <c r="I562" s="18">
        <f>12208.71+2840.57</f>
        <v>15049.279999999999</v>
      </c>
      <c r="J562" s="18">
        <v>10148.049999999999</v>
      </c>
      <c r="K562" s="18"/>
      <c r="L562" s="88">
        <f>SUM(F562:K562)</f>
        <v>3140196.5899999994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698913.83+32265.41</f>
        <v>731179.24</v>
      </c>
      <c r="G563" s="18">
        <f>391151.35+14414.48</f>
        <v>405565.82999999996</v>
      </c>
      <c r="H563" s="18">
        <f>13576.8+5027+74.39</f>
        <v>18678.189999999999</v>
      </c>
      <c r="I563" s="18">
        <f>654.94+37099.82</f>
        <v>37754.76</v>
      </c>
      <c r="J563" s="18">
        <v>11310.55</v>
      </c>
      <c r="K563" s="18"/>
      <c r="L563" s="88">
        <f>SUM(F563:K563)</f>
        <v>1204488.5699999998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798333.72+33941.44</f>
        <v>832275.15999999992</v>
      </c>
      <c r="G564" s="18">
        <f>374345.42+15163.25</f>
        <v>389508.67</v>
      </c>
      <c r="H564" s="18">
        <f>4403.47+9125+496.38+78.26</f>
        <v>14103.11</v>
      </c>
      <c r="I564" s="18">
        <f>563.03+17572.45</f>
        <v>18135.48</v>
      </c>
      <c r="J564" s="18">
        <v>13033.49</v>
      </c>
      <c r="K564" s="18"/>
      <c r="L564" s="88">
        <f>SUM(F564:K564)</f>
        <v>1267055.9099999999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3578069.5</v>
      </c>
      <c r="G565" s="89">
        <f t="shared" si="44"/>
        <v>1860804.4299999997</v>
      </c>
      <c r="H565" s="89">
        <f t="shared" si="44"/>
        <v>67435.53</v>
      </c>
      <c r="I565" s="89">
        <f t="shared" si="44"/>
        <v>70939.520000000004</v>
      </c>
      <c r="J565" s="89">
        <f t="shared" si="44"/>
        <v>34492.089999999997</v>
      </c>
      <c r="K565" s="89">
        <f t="shared" si="44"/>
        <v>0</v>
      </c>
      <c r="L565" s="89">
        <f t="shared" si="44"/>
        <v>5611741.0699999994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7674195.4100000001</v>
      </c>
      <c r="G571" s="89">
        <f t="shared" ref="G571:L571" si="46">G560+G565+G570</f>
        <v>3534408.26</v>
      </c>
      <c r="H571" s="89">
        <f t="shared" si="46"/>
        <v>700794</v>
      </c>
      <c r="I571" s="89">
        <f t="shared" si="46"/>
        <v>565641.91</v>
      </c>
      <c r="J571" s="89">
        <f t="shared" si="46"/>
        <v>177322.26</v>
      </c>
      <c r="K571" s="89">
        <f t="shared" si="46"/>
        <v>0</v>
      </c>
      <c r="L571" s="89">
        <f t="shared" si="46"/>
        <v>12652361.839999998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1765.05+169736.04+513461.71</f>
        <v>684962.8</v>
      </c>
      <c r="G579" s="18">
        <f>3417.52+712263.69</f>
        <v>715681.21</v>
      </c>
      <c r="H579" s="18">
        <f>130462.86+1589084.14</f>
        <v>1719547</v>
      </c>
      <c r="I579" s="87">
        <f t="shared" si="47"/>
        <v>3120191.01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f>77657.36</f>
        <v>77657.36</v>
      </c>
      <c r="G580" s="18">
        <v>96729.78</v>
      </c>
      <c r="H580" s="18">
        <v>153579.35999999999</v>
      </c>
      <c r="I580" s="87">
        <f t="shared" si="47"/>
        <v>327966.5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25225.8+991257.4</f>
        <v>1016483.2000000001</v>
      </c>
      <c r="G582" s="18">
        <f>96358.16+1627833.35</f>
        <v>1724191.51</v>
      </c>
      <c r="H582" s="18">
        <f>69450.81+3513.08+3258453.27</f>
        <v>3331417.16</v>
      </c>
      <c r="I582" s="87">
        <f t="shared" si="47"/>
        <v>6072091.8700000001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6724.59+2549.58+693782.4-0.01</f>
        <v>703056.56</v>
      </c>
      <c r="I591" s="18">
        <f>9034.21+3425.25+932040.59</f>
        <v>944500.04999999993</v>
      </c>
      <c r="J591" s="18">
        <f>3820.17+1448.39+394120.84</f>
        <v>399389.4</v>
      </c>
      <c r="K591" s="104">
        <f t="shared" ref="K591:K597" si="48">SUM(H591:J591)</f>
        <v>2046946.0099999998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12111.21+4591.87+1249524.02</f>
        <v>1266227.1000000001</v>
      </c>
      <c r="I592" s="18">
        <f>7889.12+2991.1+813904.78</f>
        <v>824785</v>
      </c>
      <c r="J592" s="18">
        <f>9994.11+3789.19+1031076.01</f>
        <v>1044859.31</v>
      </c>
      <c r="K592" s="104">
        <f t="shared" si="48"/>
        <v>3135871.41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25847.19</v>
      </c>
      <c r="J594" s="18">
        <v>120136.77</v>
      </c>
      <c r="K594" s="104">
        <f t="shared" si="48"/>
        <v>145983.96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2169.69</v>
      </c>
      <c r="I595" s="18">
        <v>1949.39</v>
      </c>
      <c r="J595" s="18">
        <f>4897.2+1591.26</f>
        <v>6488.46</v>
      </c>
      <c r="K595" s="104">
        <f t="shared" si="48"/>
        <v>10607.54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1971453.35</v>
      </c>
      <c r="I598" s="108">
        <f>SUM(I591:I597)</f>
        <v>1797081.6299999997</v>
      </c>
      <c r="J598" s="108">
        <f>SUM(J591:J597)</f>
        <v>1570873.94</v>
      </c>
      <c r="K598" s="108">
        <f>SUM(K591:K597)</f>
        <v>5339408.92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159830.56</v>
      </c>
      <c r="I604" s="18">
        <v>81468.66</v>
      </c>
      <c r="J604" s="18">
        <f>395966.5+8447.97</f>
        <v>404414.47</v>
      </c>
      <c r="K604" s="104">
        <f>SUM(H604:J604)</f>
        <v>645713.68999999994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159830.56</v>
      </c>
      <c r="I605" s="108">
        <f>SUM(I602:I604)</f>
        <v>81468.66</v>
      </c>
      <c r="J605" s="108">
        <f>SUM(J602:J604)</f>
        <v>404414.47</v>
      </c>
      <c r="K605" s="108">
        <f>SUM(K602:K604)</f>
        <v>645713.68999999994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110826.17</v>
      </c>
      <c r="G611" s="18">
        <v>27037.82</v>
      </c>
      <c r="H611" s="18">
        <f>97120.44+157593.01+12470.5</f>
        <v>267183.95</v>
      </c>
      <c r="I611" s="18">
        <v>160.03</v>
      </c>
      <c r="J611" s="18"/>
      <c r="K611" s="18"/>
      <c r="L611" s="88">
        <f>SUM(F611:K611)</f>
        <v>405207.97000000003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47940.05</f>
        <v>47940.05</v>
      </c>
      <c r="G612" s="18">
        <f>11324.34</f>
        <v>11324.34</v>
      </c>
      <c r="H612" s="18">
        <f>34474.9+54253.33+4293.12</f>
        <v>93021.35</v>
      </c>
      <c r="I612" s="18">
        <v>55.09</v>
      </c>
      <c r="J612" s="18"/>
      <c r="K612" s="18"/>
      <c r="L612" s="88">
        <f>SUM(F612:K612)</f>
        <v>152340.82999999999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41936.84</f>
        <v>41936.839999999997</v>
      </c>
      <c r="G613" s="18">
        <v>9894.66</v>
      </c>
      <c r="H613" s="18">
        <f>29618.49+46502.86+3679.82</f>
        <v>79801.170000000013</v>
      </c>
      <c r="I613" s="18">
        <v>47.22</v>
      </c>
      <c r="J613" s="18"/>
      <c r="K613" s="18"/>
      <c r="L613" s="88">
        <f>SUM(F613:K613)</f>
        <v>131679.89000000001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200703.06</v>
      </c>
      <c r="G614" s="108">
        <f t="shared" si="49"/>
        <v>48256.820000000007</v>
      </c>
      <c r="H614" s="108">
        <f t="shared" si="49"/>
        <v>440006.47000000009</v>
      </c>
      <c r="I614" s="108">
        <f t="shared" si="49"/>
        <v>262.34000000000003</v>
      </c>
      <c r="J614" s="108">
        <f t="shared" si="49"/>
        <v>0</v>
      </c>
      <c r="K614" s="108">
        <f t="shared" si="49"/>
        <v>0</v>
      </c>
      <c r="L614" s="89">
        <f t="shared" si="49"/>
        <v>689228.69000000006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43953469.049999997</v>
      </c>
      <c r="H617" s="109">
        <f>SUM(F52)</f>
        <v>43953469.050000004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724670.02000000014</v>
      </c>
      <c r="H618" s="109">
        <f>SUM(G52)</f>
        <v>724670.02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2516988.5100000002</v>
      </c>
      <c r="H619" s="109">
        <f>SUM(H52)</f>
        <v>2516988.5099999998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1206754.96</v>
      </c>
      <c r="H621" s="109">
        <f>SUM(J52)</f>
        <v>1206754.96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474102.89999999997</v>
      </c>
      <c r="H622" s="109">
        <f>F476</f>
        <v>474102.90000000596</v>
      </c>
      <c r="I622" s="121" t="s">
        <v>101</v>
      </c>
      <c r="J622" s="109">
        <f t="shared" ref="J622:J655" si="50">G622-H622</f>
        <v>-5.9953890740871429E-9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583854.85</v>
      </c>
      <c r="H623" s="109">
        <f>G476</f>
        <v>583854.84999999963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1094304.43</v>
      </c>
      <c r="H624" s="109">
        <f>H476</f>
        <v>1094304.4299999997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933915.54</v>
      </c>
      <c r="H626" s="109">
        <f>J476</f>
        <v>933915.54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169633847.18000001</v>
      </c>
      <c r="H627" s="104">
        <f>SUM(F468)</f>
        <v>169633847.18000001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5609618.2299999995</v>
      </c>
      <c r="H628" s="104">
        <f>SUM(G468)</f>
        <v>5609618.2300000004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19593296.82</v>
      </c>
      <c r="H629" s="104">
        <f>SUM(H468)</f>
        <v>19593296.82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440697.58</v>
      </c>
      <c r="H631" s="104">
        <f>SUM(J468)</f>
        <v>440697.58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169908905.19999999</v>
      </c>
      <c r="H632" s="104">
        <f>SUM(F472)</f>
        <v>169908905.19999999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19530640.859999996</v>
      </c>
      <c r="H633" s="104">
        <f>SUM(H472)</f>
        <v>19530640.859999999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2144713.91</v>
      </c>
      <c r="H634" s="104">
        <f>I369</f>
        <v>2144713.91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5364393.4799999995</v>
      </c>
      <c r="H635" s="104">
        <f>SUM(G472)</f>
        <v>5364393.4800000004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440697.58</v>
      </c>
      <c r="H637" s="164">
        <f>SUM(J468)</f>
        <v>440697.58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723662</v>
      </c>
      <c r="H638" s="164">
        <f>SUM(J472)</f>
        <v>723662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1206754.96</v>
      </c>
      <c r="H640" s="104">
        <f>SUM(G461)</f>
        <v>1206754.96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1206754.96</v>
      </c>
      <c r="H642" s="104">
        <f>SUM(I461)</f>
        <v>1206754.96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-10125</v>
      </c>
      <c r="H644" s="104">
        <f>H408</f>
        <v>-10125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450822.58</v>
      </c>
      <c r="H645" s="104">
        <f>G408</f>
        <v>450822.58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440697.58</v>
      </c>
      <c r="H646" s="104">
        <f>L408</f>
        <v>440697.58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5339408.92</v>
      </c>
      <c r="H647" s="104">
        <f>L208+L226+L244</f>
        <v>5339408.92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645713.68999999994</v>
      </c>
      <c r="H648" s="104">
        <f>(J257+J338)-(J255+J336)</f>
        <v>645713.69000000006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1971453.35</v>
      </c>
      <c r="H649" s="104">
        <f>H598</f>
        <v>1971453.35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1797081.63</v>
      </c>
      <c r="H650" s="104">
        <f>I598</f>
        <v>1797081.6299999997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1570873.9400000002</v>
      </c>
      <c r="H651" s="104">
        <f>J598</f>
        <v>1570873.94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450822.58</v>
      </c>
      <c r="H655" s="104">
        <f>K266+K347</f>
        <v>450822.58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79023180.109999999</v>
      </c>
      <c r="G660" s="19">
        <f>(L229+L309+L359)</f>
        <v>40496849.409999996</v>
      </c>
      <c r="H660" s="19">
        <f>(L247+L328+L360)</f>
        <v>59447866.169999994</v>
      </c>
      <c r="I660" s="19">
        <f>SUM(F660:H660)</f>
        <v>178967895.69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451515.56427933893</v>
      </c>
      <c r="G661" s="19">
        <f>(L359/IF(SUM(L358:L360)=0,1,SUM(L358:L360))*(SUM(G97:G110)))</f>
        <v>293258.98660703143</v>
      </c>
      <c r="H661" s="19">
        <f>(L360/IF(SUM(L358:L360)=0,1,SUM(L358:L360))*(SUM(G97:G110)))</f>
        <v>265366.17911362968</v>
      </c>
      <c r="I661" s="19">
        <f>SUM(F661:H661)</f>
        <v>1010140.73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1971453.35</v>
      </c>
      <c r="G662" s="19">
        <f>(L226+L306)-(J226+J306)</f>
        <v>1797081.63</v>
      </c>
      <c r="H662" s="19">
        <f>(L244+L325)-(J244+J325)</f>
        <v>1570873.9400000002</v>
      </c>
      <c r="I662" s="19">
        <f>SUM(F662:H662)</f>
        <v>5339408.92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2344141.89</v>
      </c>
      <c r="G663" s="199">
        <f>SUM(G575:G587)+SUM(I602:I604)+L612</f>
        <v>2770411.99</v>
      </c>
      <c r="H663" s="199">
        <f>SUM(H575:H587)+SUM(J602:J604)+L613</f>
        <v>5740637.879999999</v>
      </c>
      <c r="I663" s="19">
        <f>SUM(F663:H663)</f>
        <v>10855191.76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74256069.305720657</v>
      </c>
      <c r="G664" s="19">
        <f>G660-SUM(G661:G663)</f>
        <v>35636096.803392962</v>
      </c>
      <c r="H664" s="19">
        <f>H660-SUM(H661:H663)</f>
        <v>51870988.170886368</v>
      </c>
      <c r="I664" s="19">
        <f>I660-SUM(I661:I663)</f>
        <v>161763154.28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6532.22</v>
      </c>
      <c r="G665" s="248">
        <v>2939.28</v>
      </c>
      <c r="H665" s="248">
        <v>3918.21</v>
      </c>
      <c r="I665" s="19">
        <f>SUM(F665:H665)</f>
        <v>13389.71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11367.66</v>
      </c>
      <c r="G667" s="19">
        <f>ROUND(G664/G665,2)</f>
        <v>12124.09</v>
      </c>
      <c r="H667" s="19">
        <f>ROUND(H664/H665,2)</f>
        <v>13238.44</v>
      </c>
      <c r="I667" s="19">
        <f>ROUND(I664/I665,2)</f>
        <v>12081.15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63.17</v>
      </c>
      <c r="I670" s="19">
        <f>SUM(F670:H670)</f>
        <v>63.17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11367.66</v>
      </c>
      <c r="G672" s="19">
        <f>ROUND((G664+G669)/(G665+G670),2)</f>
        <v>12124.09</v>
      </c>
      <c r="H672" s="19">
        <f>ROUND((H664+H669)/(H665+H670),2)</f>
        <v>13028.39</v>
      </c>
      <c r="I672" s="19">
        <f>ROUND((I664+I669)/(I665+I670),2)</f>
        <v>12024.43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Manchester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47115969.890000001</v>
      </c>
      <c r="C9" s="229">
        <f>'DOE25'!G197+'DOE25'!G215+'DOE25'!G233+'DOE25'!G276+'DOE25'!G295+'DOE25'!G314</f>
        <v>20976539.460000001</v>
      </c>
    </row>
    <row r="10" spans="1:3" x14ac:dyDescent="0.2">
      <c r="A10" t="s">
        <v>773</v>
      </c>
      <c r="B10" s="240">
        <v>44456573.369999997</v>
      </c>
      <c r="C10" s="240">
        <f>B10*0.44521+38.51</f>
        <v>19792549.5400577</v>
      </c>
    </row>
    <row r="11" spans="1:3" x14ac:dyDescent="0.2">
      <c r="A11" t="s">
        <v>774</v>
      </c>
      <c r="B11" s="240">
        <f>B9-B10-B12</f>
        <v>32492.090000003111</v>
      </c>
      <c r="C11" s="240">
        <f>C9-C10-C12</f>
        <v>14465.798662000801</v>
      </c>
    </row>
    <row r="12" spans="1:3" x14ac:dyDescent="0.2">
      <c r="A12" t="s">
        <v>775</v>
      </c>
      <c r="B12" s="240">
        <v>2626904.4300000002</v>
      </c>
      <c r="C12" s="240">
        <f t="shared" ref="C12" si="0">B12*0.44521</f>
        <v>1169524.1212803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47115969.890000001</v>
      </c>
      <c r="C13" s="231">
        <f>SUM(C10:C12)</f>
        <v>20976539.460000001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25108277.850000001</v>
      </c>
      <c r="C18" s="229">
        <f>'DOE25'!G198+'DOE25'!G216+'DOE25'!G234+'DOE25'!G277+'DOE25'!G296+'DOE25'!G315</f>
        <v>14143376.539999997</v>
      </c>
    </row>
    <row r="19" spans="1:3" x14ac:dyDescent="0.2">
      <c r="A19" t="s">
        <v>773</v>
      </c>
      <c r="B19" s="240">
        <v>18468879.949999999</v>
      </c>
      <c r="C19" s="240">
        <f>B19*0.5633+2471.41</f>
        <v>10405991.485835001</v>
      </c>
    </row>
    <row r="20" spans="1:3" x14ac:dyDescent="0.2">
      <c r="A20" t="s">
        <v>774</v>
      </c>
      <c r="B20" s="240">
        <v>4521221.79</v>
      </c>
      <c r="C20" s="240">
        <f t="shared" ref="C20" si="1">B20*0.5633</f>
        <v>2546804.2343069999</v>
      </c>
    </row>
    <row r="21" spans="1:3" x14ac:dyDescent="0.2">
      <c r="A21" t="s">
        <v>775</v>
      </c>
      <c r="B21" s="240">
        <f>B18-B19-B20</f>
        <v>2118176.1100000022</v>
      </c>
      <c r="C21" s="240">
        <f>C18-C19-C20</f>
        <v>1190580.8198579964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25108277.850000001</v>
      </c>
      <c r="C22" s="231">
        <f>SUM(C19:C21)</f>
        <v>14143376.539999997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2120415.34</v>
      </c>
      <c r="C27" s="234">
        <f>'DOE25'!G199+'DOE25'!G217+'DOE25'!G235+'DOE25'!G278+'DOE25'!G297+'DOE25'!G316</f>
        <v>1043121.96</v>
      </c>
    </row>
    <row r="28" spans="1:3" x14ac:dyDescent="0.2">
      <c r="A28" t="s">
        <v>773</v>
      </c>
      <c r="B28" s="240">
        <v>1982375.12</v>
      </c>
      <c r="C28" s="240">
        <v>971363.8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138040.22</v>
      </c>
      <c r="C30" s="240">
        <v>71758.16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2120415.3400000003</v>
      </c>
      <c r="C31" s="231">
        <f>SUM(C28:C30)</f>
        <v>1043121.9600000001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1649011.52</v>
      </c>
      <c r="C36" s="235">
        <f>'DOE25'!G200+'DOE25'!G218+'DOE25'!G236+'DOE25'!G279+'DOE25'!G298+'DOE25'!G317</f>
        <v>364194.33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1649011.52</v>
      </c>
      <c r="C39" s="240">
        <v>364194.33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1649011.52</v>
      </c>
      <c r="C40" s="231">
        <f>SUM(C37:C39)</f>
        <v>364194.33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Manchester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110974218.84999999</v>
      </c>
      <c r="D5" s="20">
        <f>SUM('DOE25'!L197:L200)+SUM('DOE25'!L215:L218)+SUM('DOE25'!L233:L236)-F5-G5</f>
        <v>110679172.23999999</v>
      </c>
      <c r="E5" s="243"/>
      <c r="F5" s="255">
        <f>SUM('DOE25'!J197:J200)+SUM('DOE25'!J215:J218)+SUM('DOE25'!J233:J236)</f>
        <v>35717.279999999999</v>
      </c>
      <c r="G5" s="53">
        <f>SUM('DOE25'!K197:K200)+SUM('DOE25'!K215:K218)+SUM('DOE25'!K233:K236)</f>
        <v>259329.33000000002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12574987.179999998</v>
      </c>
      <c r="D6" s="20">
        <f>'DOE25'!L202+'DOE25'!L220+'DOE25'!L238-F6-G6</f>
        <v>10349249.179999998</v>
      </c>
      <c r="E6" s="243"/>
      <c r="F6" s="255">
        <f>'DOE25'!J202+'DOE25'!J220+'DOE25'!J238</f>
        <v>0</v>
      </c>
      <c r="G6" s="53">
        <f>'DOE25'!K202+'DOE25'!K220+'DOE25'!K238</f>
        <v>2225738</v>
      </c>
      <c r="H6" s="259"/>
    </row>
    <row r="7" spans="1:9" x14ac:dyDescent="0.2">
      <c r="A7" s="32">
        <v>2200</v>
      </c>
      <c r="B7" t="s">
        <v>828</v>
      </c>
      <c r="C7" s="245">
        <f t="shared" si="0"/>
        <v>2512396.0300000003</v>
      </c>
      <c r="D7" s="20">
        <f>'DOE25'!L203+'DOE25'!L221+'DOE25'!L239-F7-G7</f>
        <v>2512366.0300000003</v>
      </c>
      <c r="E7" s="243"/>
      <c r="F7" s="255">
        <f>'DOE25'!J203+'DOE25'!J221+'DOE25'!J239</f>
        <v>0</v>
      </c>
      <c r="G7" s="53">
        <f>'DOE25'!K203+'DOE25'!K221+'DOE25'!K239</f>
        <v>30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435473.88999999984</v>
      </c>
      <c r="D8" s="243"/>
      <c r="E8" s="20">
        <f>'DOE25'!L204+'DOE25'!L222+'DOE25'!L240-F8-G8-D9-D11</f>
        <v>423701.57999999984</v>
      </c>
      <c r="F8" s="255">
        <f>'DOE25'!J204+'DOE25'!J222+'DOE25'!J240</f>
        <v>0</v>
      </c>
      <c r="G8" s="53">
        <f>'DOE25'!K204+'DOE25'!K222+'DOE25'!K240</f>
        <v>11772.31</v>
      </c>
      <c r="H8" s="259"/>
    </row>
    <row r="9" spans="1:9" x14ac:dyDescent="0.2">
      <c r="A9" s="32">
        <v>2310</v>
      </c>
      <c r="B9" t="s">
        <v>812</v>
      </c>
      <c r="C9" s="245">
        <f t="shared" si="0"/>
        <v>568635.21</v>
      </c>
      <c r="D9" s="244">
        <v>568635.21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80000</v>
      </c>
      <c r="D10" s="243"/>
      <c r="E10" s="244">
        <v>80000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587053.24</v>
      </c>
      <c r="D11" s="244">
        <v>587053.24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9982804.1700000018</v>
      </c>
      <c r="D12" s="20">
        <f>'DOE25'!L205+'DOE25'!L223+'DOE25'!L241-F12-G12</f>
        <v>9960156.4400000013</v>
      </c>
      <c r="E12" s="243"/>
      <c r="F12" s="255">
        <f>'DOE25'!J205+'DOE25'!J223+'DOE25'!J241</f>
        <v>0</v>
      </c>
      <c r="G12" s="53">
        <f>'DOE25'!K205+'DOE25'!K223+'DOE25'!K241</f>
        <v>22647.73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1260464.98</v>
      </c>
      <c r="D13" s="243"/>
      <c r="E13" s="20">
        <f>'DOE25'!L206+'DOE25'!L224+'DOE25'!L242-F13-G13</f>
        <v>1132334.98</v>
      </c>
      <c r="F13" s="255">
        <f>'DOE25'!J206+'DOE25'!J224+'DOE25'!J242</f>
        <v>0</v>
      </c>
      <c r="G13" s="53">
        <f>'DOE25'!K206+'DOE25'!K224+'DOE25'!K242</f>
        <v>128130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9272245.6600000001</v>
      </c>
      <c r="D14" s="20">
        <f>'DOE25'!L207+'DOE25'!L225+'DOE25'!L243-F14-G14</f>
        <v>9266999.6600000001</v>
      </c>
      <c r="E14" s="243"/>
      <c r="F14" s="255">
        <f>'DOE25'!J207+'DOE25'!J225+'DOE25'!J243</f>
        <v>5021</v>
      </c>
      <c r="G14" s="53">
        <f>'DOE25'!K207+'DOE25'!K225+'DOE25'!K243</f>
        <v>225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5339408.92</v>
      </c>
      <c r="D15" s="20">
        <f>'DOE25'!L208+'DOE25'!L226+'DOE25'!L244-F15-G15</f>
        <v>5339408.92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1562648.71</v>
      </c>
      <c r="D16" s="243"/>
      <c r="E16" s="20">
        <f>'DOE25'!L209+'DOE25'!L227+'DOE25'!L245-F16-G16</f>
        <v>1559990.2</v>
      </c>
      <c r="F16" s="255">
        <f>'DOE25'!J209+'DOE25'!J227+'DOE25'!J245</f>
        <v>2658.51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58517.500000000007</v>
      </c>
      <c r="D17" s="20">
        <f>'DOE25'!L251-F17-G17</f>
        <v>58517.500000000007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424934.34</v>
      </c>
      <c r="D22" s="243"/>
      <c r="E22" s="243"/>
      <c r="F22" s="255">
        <f>'DOE25'!L255+'DOE25'!L336</f>
        <v>424934.34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13256982.77</v>
      </c>
      <c r="D25" s="243"/>
      <c r="E25" s="243"/>
      <c r="F25" s="258"/>
      <c r="G25" s="256"/>
      <c r="H25" s="257">
        <f>'DOE25'!L260+'DOE25'!L261+'DOE25'!L341+'DOE25'!L342</f>
        <v>13256982.77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3460322.6499999994</v>
      </c>
      <c r="D29" s="20">
        <f>'DOE25'!L358+'DOE25'!L359+'DOE25'!L360-'DOE25'!I367-F29-G29</f>
        <v>3386051.9399999995</v>
      </c>
      <c r="E29" s="243"/>
      <c r="F29" s="255">
        <f>'DOE25'!J358+'DOE25'!J359+'DOE25'!J360</f>
        <v>24270.71</v>
      </c>
      <c r="G29" s="53">
        <f>'DOE25'!K358+'DOE25'!K359+'DOE25'!K360</f>
        <v>50000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18853675.849999998</v>
      </c>
      <c r="D31" s="20">
        <f>'DOE25'!L290+'DOE25'!L309+'DOE25'!L328+'DOE25'!L333+'DOE25'!L334+'DOE25'!L335-F31-G31</f>
        <v>18187134.890000001</v>
      </c>
      <c r="E31" s="243"/>
      <c r="F31" s="255">
        <f>'DOE25'!J290+'DOE25'!J309+'DOE25'!J328+'DOE25'!J333+'DOE25'!J334+'DOE25'!J335</f>
        <v>602316.9</v>
      </c>
      <c r="G31" s="53">
        <f>'DOE25'!K290+'DOE25'!K309+'DOE25'!K328+'DOE25'!K333+'DOE25'!K334+'DOE25'!K335</f>
        <v>64224.06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170894745.24999994</v>
      </c>
      <c r="E33" s="246">
        <f>SUM(E5:E31)</f>
        <v>3196026.76</v>
      </c>
      <c r="F33" s="246">
        <f>SUM(F5:F31)</f>
        <v>1094918.74</v>
      </c>
      <c r="G33" s="246">
        <f>SUM(G5:G31)</f>
        <v>2762096.43</v>
      </c>
      <c r="H33" s="246">
        <f>SUM(H5:H31)</f>
        <v>13256982.77</v>
      </c>
    </row>
    <row r="35" spans="2:8" ht="12" thickBot="1" x14ac:dyDescent="0.25">
      <c r="B35" s="253" t="s">
        <v>841</v>
      </c>
      <c r="D35" s="254">
        <f>E33</f>
        <v>3196026.76</v>
      </c>
      <c r="E35" s="249"/>
    </row>
    <row r="36" spans="2:8" ht="12" thickTop="1" x14ac:dyDescent="0.2">
      <c r="B36" t="s">
        <v>809</v>
      </c>
      <c r="D36" s="20">
        <f>D33</f>
        <v>170894745.24999994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5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6938317.4299999997</v>
      </c>
      <c r="D8" s="95">
        <f>'DOE25'!G9</f>
        <v>150381.20000000001</v>
      </c>
      <c r="E8" s="95">
        <f>'DOE25'!H9</f>
        <v>1400</v>
      </c>
      <c r="F8" s="95">
        <f>'DOE25'!I9</f>
        <v>0</v>
      </c>
      <c r="G8" s="95">
        <f>'DOE25'!J9</f>
        <v>1206754.96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741767.15</v>
      </c>
      <c r="D11" s="95">
        <f>'DOE25'!G12</f>
        <v>312231.58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35454719.07</v>
      </c>
      <c r="D12" s="95">
        <f>'DOE25'!G13</f>
        <v>226831.57</v>
      </c>
      <c r="E12" s="95">
        <f>'DOE25'!H13</f>
        <v>36239.39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779783.19</v>
      </c>
      <c r="D13" s="95">
        <f>'DOE25'!G14</f>
        <v>4725.6499999999996</v>
      </c>
      <c r="E13" s="95">
        <f>'DOE25'!H14</f>
        <v>2466248.37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30500.02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38882.21</v>
      </c>
      <c r="D16" s="95">
        <f>'DOE25'!G17</f>
        <v>0</v>
      </c>
      <c r="E16" s="95">
        <f>'DOE25'!H17</f>
        <v>13100.75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43953469.049999997</v>
      </c>
      <c r="D18" s="41">
        <f>SUM(D8:D17)</f>
        <v>724670.02000000014</v>
      </c>
      <c r="E18" s="41">
        <f>SUM(E8:E17)</f>
        <v>2516988.5100000002</v>
      </c>
      <c r="F18" s="41">
        <f>SUM(F8:F17)</f>
        <v>0</v>
      </c>
      <c r="G18" s="41">
        <f>SUM(G8:G17)</f>
        <v>1206754.96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714674.73</v>
      </c>
      <c r="F21" s="95">
        <f>'DOE25'!I22</f>
        <v>0</v>
      </c>
      <c r="G21" s="95">
        <f>'DOE25'!J22</f>
        <v>272839.42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1873966.47</v>
      </c>
      <c r="D23" s="95">
        <f>'DOE25'!G24</f>
        <v>51321.1</v>
      </c>
      <c r="E23" s="95">
        <f>'DOE25'!H24</f>
        <v>253656.33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2992478.35</v>
      </c>
      <c r="D27" s="95">
        <f>'DOE25'!G28</f>
        <v>10646.61</v>
      </c>
      <c r="E27" s="95">
        <f>'DOE25'!H28</f>
        <v>448690.46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2280940.56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36331980.770000003</v>
      </c>
      <c r="D29" s="95">
        <f>'DOE25'!G30</f>
        <v>78847.460000000006</v>
      </c>
      <c r="E29" s="95">
        <f>'DOE25'!H30</f>
        <v>5662.56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43479366.150000006</v>
      </c>
      <c r="D31" s="41">
        <f>SUM(D21:D30)</f>
        <v>140815.17000000001</v>
      </c>
      <c r="E31" s="41">
        <f>SUM(E21:E30)</f>
        <v>1422684.08</v>
      </c>
      <c r="F31" s="41">
        <f>SUM(F21:F30)</f>
        <v>0</v>
      </c>
      <c r="G31" s="41">
        <f>SUM(G21:G30)</f>
        <v>272839.42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30500.02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38882.21</v>
      </c>
      <c r="D35" s="95">
        <f>'DOE25'!G36</f>
        <v>0</v>
      </c>
      <c r="E35" s="95">
        <f>'DOE25'!H36</f>
        <v>13100.75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553354.82999999996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172669.97</v>
      </c>
      <c r="D47" s="95">
        <f>'DOE25'!G48</f>
        <v>0</v>
      </c>
      <c r="E47" s="95">
        <f>'DOE25'!H48</f>
        <v>1081203.68</v>
      </c>
      <c r="F47" s="95">
        <f>'DOE25'!I48</f>
        <v>0</v>
      </c>
      <c r="G47" s="95">
        <f>'DOE25'!J48</f>
        <v>933915.54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262550.71999999997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474102.89999999997</v>
      </c>
      <c r="D50" s="41">
        <f>SUM(D34:D49)</f>
        <v>583854.85</v>
      </c>
      <c r="E50" s="41">
        <f>SUM(E34:E49)</f>
        <v>1094304.43</v>
      </c>
      <c r="F50" s="41">
        <f>SUM(F34:F49)</f>
        <v>0</v>
      </c>
      <c r="G50" s="41">
        <f>SUM(G34:G49)</f>
        <v>933915.54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43953469.050000004</v>
      </c>
      <c r="D51" s="41">
        <f>D50+D31</f>
        <v>724670.02</v>
      </c>
      <c r="E51" s="41">
        <f>E50+E31</f>
        <v>2516988.5099999998</v>
      </c>
      <c r="F51" s="41">
        <f>F50+F31</f>
        <v>0</v>
      </c>
      <c r="G51" s="41">
        <f>G50+G31</f>
        <v>1206754.96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79421862</v>
      </c>
      <c r="D56" s="95">
        <f>'DOE25'!G60</f>
        <v>0</v>
      </c>
      <c r="E56" s="95">
        <f>'DOE25'!H60</f>
        <v>56558.85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3809901.1900000004</v>
      </c>
      <c r="D57" s="24" t="s">
        <v>286</v>
      </c>
      <c r="E57" s="95">
        <f>'DOE25'!H79</f>
        <v>3224676.94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349440.24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-10125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1010140.73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1444132.94</v>
      </c>
      <c r="D61" s="95">
        <f>SUM('DOE25'!G98:G110)</f>
        <v>0</v>
      </c>
      <c r="E61" s="95">
        <f>SUM('DOE25'!H98:H110)</f>
        <v>512863.83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5603474.370000001</v>
      </c>
      <c r="D62" s="130">
        <f>SUM(D57:D61)</f>
        <v>1010140.73</v>
      </c>
      <c r="E62" s="130">
        <f>SUM(E57:E61)</f>
        <v>3737540.77</v>
      </c>
      <c r="F62" s="130">
        <f>SUM(F57:F61)</f>
        <v>0</v>
      </c>
      <c r="G62" s="130">
        <f>SUM(G57:G61)</f>
        <v>-10125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85025336.370000005</v>
      </c>
      <c r="D63" s="22">
        <f>D56+D62</f>
        <v>1010140.73</v>
      </c>
      <c r="E63" s="22">
        <f>E56+E62</f>
        <v>3794099.62</v>
      </c>
      <c r="F63" s="22">
        <f>F56+F62</f>
        <v>0</v>
      </c>
      <c r="G63" s="22">
        <f>G56+G62</f>
        <v>-10125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56793685.869999997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20252382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233043.65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77279111.520000011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2959317.24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1093700.06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641448.43000000005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84143.32</v>
      </c>
      <c r="E77" s="95">
        <f>SUM('DOE25'!H131:H135)</f>
        <v>22080.92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4694465.7300000004</v>
      </c>
      <c r="D78" s="130">
        <f>SUM(D72:D77)</f>
        <v>84143.32</v>
      </c>
      <c r="E78" s="130">
        <f>SUM(E72:E77)</f>
        <v>22080.92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81973577.250000015</v>
      </c>
      <c r="D81" s="130">
        <f>SUM(D79:D80)+D78+D70</f>
        <v>84143.32</v>
      </c>
      <c r="E81" s="130">
        <f>SUM(E79:E80)+E78+E70</f>
        <v>22080.92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435403.4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1670864.75</v>
      </c>
      <c r="D88" s="95">
        <f>SUM('DOE25'!G153:G161)</f>
        <v>4079930.78</v>
      </c>
      <c r="E88" s="95">
        <f>SUM('DOE25'!H153:H161)</f>
        <v>15777116.279999999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1670864.75</v>
      </c>
      <c r="D91" s="131">
        <f>SUM(D85:D90)</f>
        <v>4515334.18</v>
      </c>
      <c r="E91" s="131">
        <f>SUM(E85:E90)</f>
        <v>15777116.279999999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450822.58</v>
      </c>
    </row>
    <row r="97" spans="1:7" x14ac:dyDescent="0.2">
      <c r="A97" t="s">
        <v>752</v>
      </c>
      <c r="B97" s="32" t="s">
        <v>188</v>
      </c>
      <c r="C97" s="95">
        <f>SUM('DOE25'!F180:F181)</f>
        <v>240406.81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723662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964068.81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450822.58</v>
      </c>
    </row>
    <row r="104" spans="1:7" ht="12.75" thickTop="1" thickBot="1" x14ac:dyDescent="0.25">
      <c r="A104" s="33" t="s">
        <v>759</v>
      </c>
      <c r="C104" s="86">
        <f>C63+C81+C91+C103</f>
        <v>169633847.18000001</v>
      </c>
      <c r="D104" s="86">
        <f>D63+D81+D91+D103</f>
        <v>5609618.2299999995</v>
      </c>
      <c r="E104" s="86">
        <f>E63+E81+E91+E103</f>
        <v>19593296.82</v>
      </c>
      <c r="F104" s="86">
        <f>F63+F81+F91+F103</f>
        <v>0</v>
      </c>
      <c r="G104" s="86">
        <f>G63+G81+G103</f>
        <v>440697.58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69354951.469999999</v>
      </c>
      <c r="D109" s="24" t="s">
        <v>286</v>
      </c>
      <c r="E109" s="95">
        <f>('DOE25'!L276)+('DOE25'!L295)+('DOE25'!L314)</f>
        <v>1397162.7800000003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36773967.209999993</v>
      </c>
      <c r="D110" s="24" t="s">
        <v>286</v>
      </c>
      <c r="E110" s="95">
        <f>('DOE25'!L277)+('DOE25'!L296)+('DOE25'!L315)</f>
        <v>14614192.919999998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3137379.68</v>
      </c>
      <c r="D111" s="24" t="s">
        <v>286</v>
      </c>
      <c r="E111" s="95">
        <f>('DOE25'!L278)+('DOE25'!L297)+('DOE25'!L316)</f>
        <v>488456.2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1707920.49</v>
      </c>
      <c r="D112" s="24" t="s">
        <v>286</v>
      </c>
      <c r="E112" s="95">
        <f>+('DOE25'!L279)+('DOE25'!L298)+('DOE25'!L317)</f>
        <v>990167.5199999999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11623.859999999999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58517.500000000007</v>
      </c>
      <c r="D114" s="24" t="s">
        <v>286</v>
      </c>
      <c r="E114" s="95">
        <f>+ SUM('DOE25'!L333:L335)</f>
        <v>320510.48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111032736.34999999</v>
      </c>
      <c r="D115" s="86">
        <f>SUM(D109:D114)</f>
        <v>0</v>
      </c>
      <c r="E115" s="86">
        <f>SUM(E109:E114)</f>
        <v>17822113.759999998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12574987.179999998</v>
      </c>
      <c r="D118" s="24" t="s">
        <v>286</v>
      </c>
      <c r="E118" s="95">
        <f>+('DOE25'!L281)+('DOE25'!L300)+('DOE25'!L319)</f>
        <v>438470.63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2512396.0300000003</v>
      </c>
      <c r="D119" s="24" t="s">
        <v>286</v>
      </c>
      <c r="E119" s="95">
        <f>+('DOE25'!L282)+('DOE25'!L301)+('DOE25'!L320)</f>
        <v>68766.62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1591162.3399999999</v>
      </c>
      <c r="D120" s="24" t="s">
        <v>286</v>
      </c>
      <c r="E120" s="95">
        <f>+('DOE25'!L283)+('DOE25'!L302)+('DOE25'!L321)</f>
        <v>480206.71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9982804.1700000018</v>
      </c>
      <c r="D121" s="24" t="s">
        <v>286</v>
      </c>
      <c r="E121" s="95">
        <f>+('DOE25'!L284)+('DOE25'!L303)+('DOE25'!L322)</f>
        <v>379.14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1260464.98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9272245.6600000001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5339408.92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1562648.71</v>
      </c>
      <c r="D125" s="24" t="s">
        <v>286</v>
      </c>
      <c r="E125" s="95">
        <f>+('DOE25'!L288)+('DOE25'!L307)+('DOE25'!L326)</f>
        <v>55362.850000000006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5364393.4799999995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44096117.990000002</v>
      </c>
      <c r="D128" s="86">
        <f>SUM(D118:D127)</f>
        <v>5364393.4799999995</v>
      </c>
      <c r="E128" s="86">
        <f>SUM(E118:E127)</f>
        <v>1043185.95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424934.34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8990297.7599999998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4266685.01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240406.81</v>
      </c>
      <c r="F134" s="95">
        <f>'DOE25'!K381</f>
        <v>0</v>
      </c>
      <c r="G134" s="95">
        <f>'DOE25'!K434</f>
        <v>723662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440697.58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10125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1072245.51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14780050.859999999</v>
      </c>
      <c r="D144" s="141">
        <f>SUM(D130:D143)</f>
        <v>0</v>
      </c>
      <c r="E144" s="141">
        <f>SUM(E130:E143)</f>
        <v>665341.15</v>
      </c>
      <c r="F144" s="141">
        <f>SUM(F130:F143)</f>
        <v>0</v>
      </c>
      <c r="G144" s="141">
        <f>SUM(G130:G143)</f>
        <v>723662</v>
      </c>
    </row>
    <row r="145" spans="1:9" ht="12.75" thickTop="1" thickBot="1" x14ac:dyDescent="0.25">
      <c r="A145" s="33" t="s">
        <v>244</v>
      </c>
      <c r="C145" s="86">
        <f>(C115+C128+C144)</f>
        <v>169908905.19999999</v>
      </c>
      <c r="D145" s="86">
        <f>(D115+D128+D144)</f>
        <v>5364393.4799999995</v>
      </c>
      <c r="E145" s="86">
        <f>(E115+E128+E144)</f>
        <v>19530640.859999996</v>
      </c>
      <c r="F145" s="86">
        <f>(F115+F128+F144)</f>
        <v>0</v>
      </c>
      <c r="G145" s="86">
        <f>(G115+G128+G144)</f>
        <v>723662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Manchester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11368</v>
      </c>
    </row>
    <row r="5" spans="1:4" x14ac:dyDescent="0.2">
      <c r="B5" t="s">
        <v>698</v>
      </c>
      <c r="C5" s="179">
        <f>IF('DOE25'!G665+'DOE25'!G670=0,0,ROUND('DOE25'!G672,0))</f>
        <v>12124</v>
      </c>
    </row>
    <row r="6" spans="1:4" x14ac:dyDescent="0.2">
      <c r="B6" t="s">
        <v>62</v>
      </c>
      <c r="C6" s="179">
        <f>IF('DOE25'!H665+'DOE25'!H670=0,0,ROUND('DOE25'!H672,0))</f>
        <v>13028</v>
      </c>
    </row>
    <row r="7" spans="1:4" x14ac:dyDescent="0.2">
      <c r="B7" t="s">
        <v>699</v>
      </c>
      <c r="C7" s="179">
        <f>IF('DOE25'!I665+'DOE25'!I670=0,0,ROUND('DOE25'!I672,0))</f>
        <v>12024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70752114</v>
      </c>
      <c r="D10" s="182">
        <f>ROUND((C10/$C$28)*100,1)</f>
        <v>38.5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51388160</v>
      </c>
      <c r="D11" s="182">
        <f>ROUND((C11/$C$28)*100,1)</f>
        <v>28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3625836</v>
      </c>
      <c r="D12" s="182">
        <f>ROUND((C12/$C$28)*100,1)</f>
        <v>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2698088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13013458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2581163</v>
      </c>
      <c r="D16" s="182">
        <f t="shared" si="0"/>
        <v>1.4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3689381</v>
      </c>
      <c r="D17" s="182">
        <f t="shared" si="0"/>
        <v>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9983183</v>
      </c>
      <c r="D18" s="182">
        <f t="shared" si="0"/>
        <v>5.4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1260465</v>
      </c>
      <c r="D19" s="182">
        <f t="shared" si="0"/>
        <v>0.7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9272246</v>
      </c>
      <c r="D20" s="182">
        <f t="shared" si="0"/>
        <v>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5339409</v>
      </c>
      <c r="D21" s="182">
        <f t="shared" si="0"/>
        <v>2.9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11624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379028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4266685</v>
      </c>
      <c r="D25" s="182">
        <f t="shared" si="0"/>
        <v>2.2999999999999998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1072245.51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4354252.2699999996</v>
      </c>
      <c r="D27" s="182">
        <f t="shared" si="0"/>
        <v>2.4</v>
      </c>
    </row>
    <row r="28" spans="1:4" x14ac:dyDescent="0.2">
      <c r="B28" s="187" t="s">
        <v>717</v>
      </c>
      <c r="C28" s="180">
        <f>SUM(C10:C27)</f>
        <v>183687337.78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424934</v>
      </c>
    </row>
    <row r="30" spans="1:4" x14ac:dyDescent="0.2">
      <c r="B30" s="187" t="s">
        <v>723</v>
      </c>
      <c r="C30" s="180">
        <f>SUM(C28:C29)</f>
        <v>184112271.78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8990298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79478421</v>
      </c>
      <c r="D35" s="182">
        <f t="shared" ref="D35:D40" si="1">ROUND((C35/$C$41)*100,1)</f>
        <v>41.2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9330889.9900000095</v>
      </c>
      <c r="D36" s="182">
        <f t="shared" si="1"/>
        <v>4.8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77046068</v>
      </c>
      <c r="D37" s="182">
        <f t="shared" si="1"/>
        <v>40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5033734</v>
      </c>
      <c r="D38" s="182">
        <f t="shared" si="1"/>
        <v>2.6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21963315</v>
      </c>
      <c r="D39" s="182">
        <f t="shared" si="1"/>
        <v>11.4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192852427.99000001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Manchester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2018-10-10T23:07:23Z</cp:lastPrinted>
  <dcterms:created xsi:type="dcterms:W3CDTF">1997-12-04T19:04:30Z</dcterms:created>
  <dcterms:modified xsi:type="dcterms:W3CDTF">2018-12-03T19:43:38Z</dcterms:modified>
</cp:coreProperties>
</file>