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1570" windowHeight="81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95" i="1" l="1"/>
  <c r="H591" i="1"/>
  <c r="H208" i="1"/>
  <c r="H424" i="1"/>
  <c r="H472" i="1"/>
  <c r="H468" i="1"/>
  <c r="J465" i="1"/>
  <c r="J472" i="1"/>
  <c r="J468" i="1"/>
  <c r="G440" i="1"/>
  <c r="H398" i="1"/>
  <c r="F368" i="1"/>
  <c r="D9" i="13" l="1"/>
  <c r="G611" i="1"/>
  <c r="H611" i="1"/>
  <c r="F611" i="1"/>
  <c r="H604" i="1"/>
  <c r="H523" i="1"/>
  <c r="F521" i="1"/>
  <c r="K521" i="1"/>
  <c r="J521" i="1"/>
  <c r="I521" i="1"/>
  <c r="H521" i="1"/>
  <c r="G521" i="1"/>
  <c r="I358" i="1"/>
  <c r="H358" i="1"/>
  <c r="G358" i="1"/>
  <c r="H283" i="1"/>
  <c r="G283" i="1"/>
  <c r="H279" i="1"/>
  <c r="G279" i="1"/>
  <c r="F276" i="1"/>
  <c r="H287" i="1"/>
  <c r="K285" i="1"/>
  <c r="I282" i="1"/>
  <c r="H282" i="1"/>
  <c r="G282" i="1"/>
  <c r="F282" i="1"/>
  <c r="I281" i="1"/>
  <c r="H281" i="1"/>
  <c r="F279" i="1"/>
  <c r="J277" i="1"/>
  <c r="I277" i="1"/>
  <c r="G277" i="1"/>
  <c r="I276" i="1"/>
  <c r="J276" i="1"/>
  <c r="H276" i="1"/>
  <c r="G276" i="1"/>
  <c r="H244" i="1" l="1"/>
  <c r="I205" i="1"/>
  <c r="I203" i="1"/>
  <c r="I202" i="1"/>
  <c r="H209" i="1"/>
  <c r="H204" i="1"/>
  <c r="H203" i="1"/>
  <c r="H202" i="1"/>
  <c r="G202" i="1"/>
  <c r="G204" i="1"/>
  <c r="G203" i="1"/>
  <c r="G200" i="1"/>
  <c r="F204" i="1"/>
  <c r="F203" i="1"/>
  <c r="F202" i="1"/>
  <c r="F200" i="1"/>
  <c r="H159" i="1"/>
  <c r="H155" i="1"/>
  <c r="H154" i="1"/>
  <c r="F110" i="1"/>
  <c r="G97" i="1"/>
  <c r="H24" i="1"/>
  <c r="G22" i="1"/>
  <c r="F12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E16" i="13" s="1"/>
  <c r="C16" i="13" s="1"/>
  <c r="G16" i="13"/>
  <c r="L209" i="1"/>
  <c r="L227" i="1"/>
  <c r="L245" i="1"/>
  <c r="F5" i="13"/>
  <c r="G5" i="13"/>
  <c r="L197" i="1"/>
  <c r="L198" i="1"/>
  <c r="L199" i="1"/>
  <c r="C111" i="2" s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C123" i="2" s="1"/>
  <c r="L225" i="1"/>
  <c r="L243" i="1"/>
  <c r="F15" i="13"/>
  <c r="G15" i="13"/>
  <c r="L208" i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C114" i="2" s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C11" i="10" s="1"/>
  <c r="L278" i="1"/>
  <c r="L279" i="1"/>
  <c r="E112" i="2" s="1"/>
  <c r="L281" i="1"/>
  <c r="E118" i="2" s="1"/>
  <c r="L282" i="1"/>
  <c r="E119" i="2" s="1"/>
  <c r="L283" i="1"/>
  <c r="E120" i="2" s="1"/>
  <c r="L284" i="1"/>
  <c r="L285" i="1"/>
  <c r="C19" i="10" s="1"/>
  <c r="L286" i="1"/>
  <c r="L287" i="1"/>
  <c r="E124" i="2" s="1"/>
  <c r="L288" i="1"/>
  <c r="E125" i="2" s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132" i="2" s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56" i="2" s="1"/>
  <c r="F79" i="1"/>
  <c r="C57" i="2" s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J140" i="1" s="1"/>
  <c r="F147" i="1"/>
  <c r="C85" i="2" s="1"/>
  <c r="F162" i="1"/>
  <c r="G147" i="1"/>
  <c r="G162" i="1"/>
  <c r="H147" i="1"/>
  <c r="H162" i="1"/>
  <c r="I147" i="1"/>
  <c r="I162" i="1"/>
  <c r="I169" i="1" s="1"/>
  <c r="C12" i="10"/>
  <c r="C13" i="10"/>
  <c r="C18" i="10"/>
  <c r="C20" i="10"/>
  <c r="L250" i="1"/>
  <c r="L332" i="1"/>
  <c r="L254" i="1"/>
  <c r="L268" i="1"/>
  <c r="L269" i="1"/>
  <c r="C143" i="2" s="1"/>
  <c r="L349" i="1"/>
  <c r="L350" i="1"/>
  <c r="I665" i="1"/>
  <c r="I670" i="1"/>
  <c r="L229" i="1"/>
  <c r="F661" i="1"/>
  <c r="G661" i="1"/>
  <c r="H661" i="1"/>
  <c r="G662" i="1"/>
  <c r="I669" i="1"/>
  <c r="C42" i="10"/>
  <c r="C32" i="10"/>
  <c r="L374" i="1"/>
  <c r="L375" i="1"/>
  <c r="L376" i="1"/>
  <c r="C29" i="10" s="1"/>
  <c r="L377" i="1"/>
  <c r="L378" i="1"/>
  <c r="L379" i="1"/>
  <c r="L380" i="1"/>
  <c r="B2" i="10"/>
  <c r="L344" i="1"/>
  <c r="L345" i="1"/>
  <c r="L346" i="1"/>
  <c r="L351" i="1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L270" i="1" s="1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C58" i="2"/>
  <c r="E58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67" i="2"/>
  <c r="C69" i="2"/>
  <c r="D69" i="2"/>
  <c r="D70" i="2" s="1"/>
  <c r="D81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3" i="2"/>
  <c r="E113" i="2"/>
  <c r="E114" i="2"/>
  <c r="D115" i="2"/>
  <c r="F115" i="2"/>
  <c r="G115" i="2"/>
  <c r="E121" i="2"/>
  <c r="C122" i="2"/>
  <c r="E122" i="2"/>
  <c r="E123" i="2"/>
  <c r="C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G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G32" i="1"/>
  <c r="G52" i="1" s="1"/>
  <c r="H618" i="1" s="1"/>
  <c r="H32" i="1"/>
  <c r="I32" i="1"/>
  <c r="H617" i="1"/>
  <c r="H51" i="1"/>
  <c r="I51" i="1"/>
  <c r="I52" i="1" s="1"/>
  <c r="H620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I257" i="1" s="1"/>
  <c r="I271" i="1" s="1"/>
  <c r="J211" i="1"/>
  <c r="J257" i="1" s="1"/>
  <c r="K211" i="1"/>
  <c r="F229" i="1"/>
  <c r="G229" i="1"/>
  <c r="H229" i="1"/>
  <c r="I229" i="1"/>
  <c r="J229" i="1"/>
  <c r="K229" i="1"/>
  <c r="F247" i="1"/>
  <c r="G247" i="1"/>
  <c r="H247" i="1"/>
  <c r="H257" i="1" s="1"/>
  <c r="H271" i="1" s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G408" i="1" s="1"/>
  <c r="H645" i="1" s="1"/>
  <c r="H407" i="1"/>
  <c r="I407" i="1"/>
  <c r="F408" i="1"/>
  <c r="H643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L433" i="1" s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F460" i="1"/>
  <c r="F461" i="1" s="1"/>
  <c r="H639" i="1" s="1"/>
  <c r="G460" i="1"/>
  <c r="G461" i="1" s="1"/>
  <c r="H640" i="1" s="1"/>
  <c r="H460" i="1"/>
  <c r="H461" i="1"/>
  <c r="H641" i="1" s="1"/>
  <c r="F470" i="1"/>
  <c r="G470" i="1"/>
  <c r="H470" i="1"/>
  <c r="I470" i="1"/>
  <c r="J470" i="1"/>
  <c r="J476" i="1" s="1"/>
  <c r="H626" i="1" s="1"/>
  <c r="F474" i="1"/>
  <c r="F476" i="1" s="1"/>
  <c r="H622" i="1" s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K524" i="1"/>
  <c r="F529" i="1"/>
  <c r="G529" i="1"/>
  <c r="H529" i="1"/>
  <c r="I529" i="1"/>
  <c r="J529" i="1"/>
  <c r="J545" i="1" s="1"/>
  <c r="K529" i="1"/>
  <c r="F534" i="1"/>
  <c r="G534" i="1"/>
  <c r="G545" i="1" s="1"/>
  <c r="H534" i="1"/>
  <c r="I534" i="1"/>
  <c r="J534" i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J571" i="1" s="1"/>
  <c r="K560" i="1"/>
  <c r="K571" i="1" s="1"/>
  <c r="L562" i="1"/>
  <c r="L563" i="1"/>
  <c r="L564" i="1"/>
  <c r="L565" i="1" s="1"/>
  <c r="F565" i="1"/>
  <c r="F571" i="1" s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H571" i="1" s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1" i="1"/>
  <c r="J641" i="1" s="1"/>
  <c r="G643" i="1"/>
  <c r="J643" i="1" s="1"/>
  <c r="G644" i="1"/>
  <c r="G645" i="1"/>
  <c r="G650" i="1"/>
  <c r="G652" i="1"/>
  <c r="H652" i="1"/>
  <c r="G653" i="1"/>
  <c r="H653" i="1"/>
  <c r="G654" i="1"/>
  <c r="H654" i="1"/>
  <c r="H655" i="1"/>
  <c r="J655" i="1" s="1"/>
  <c r="C26" i="10"/>
  <c r="L328" i="1"/>
  <c r="A31" i="12"/>
  <c r="D18" i="13"/>
  <c r="C18" i="13" s="1"/>
  <c r="D17" i="13"/>
  <c r="C17" i="13" s="1"/>
  <c r="G161" i="2"/>
  <c r="E13" i="13"/>
  <c r="C13" i="13" s="1"/>
  <c r="E78" i="2"/>
  <c r="K605" i="1"/>
  <c r="G648" i="1" s="1"/>
  <c r="L419" i="1"/>
  <c r="G552" i="1"/>
  <c r="I476" i="1"/>
  <c r="H625" i="1" s="1"/>
  <c r="J625" i="1" s="1"/>
  <c r="K550" i="1"/>
  <c r="J552" i="1"/>
  <c r="H140" i="1"/>
  <c r="F22" i="13"/>
  <c r="C22" i="13" s="1"/>
  <c r="G192" i="1"/>
  <c r="H192" i="1"/>
  <c r="L309" i="1"/>
  <c r="L570" i="1"/>
  <c r="G36" i="2"/>
  <c r="K551" i="1" l="1"/>
  <c r="G157" i="2"/>
  <c r="G156" i="2"/>
  <c r="D19" i="13"/>
  <c r="C19" i="13" s="1"/>
  <c r="L256" i="1"/>
  <c r="H25" i="13"/>
  <c r="C25" i="13" s="1"/>
  <c r="C25" i="10"/>
  <c r="H33" i="13"/>
  <c r="L427" i="1"/>
  <c r="H476" i="1"/>
  <c r="H624" i="1" s="1"/>
  <c r="J639" i="1"/>
  <c r="H408" i="1"/>
  <c r="H644" i="1" s="1"/>
  <c r="J644" i="1" s="1"/>
  <c r="I369" i="1"/>
  <c r="H634" i="1" s="1"/>
  <c r="A40" i="12"/>
  <c r="A13" i="12"/>
  <c r="K598" i="1"/>
  <c r="G647" i="1" s="1"/>
  <c r="D29" i="13"/>
  <c r="C29" i="13" s="1"/>
  <c r="J634" i="1"/>
  <c r="H545" i="1"/>
  <c r="K549" i="1"/>
  <c r="K552" i="1" s="1"/>
  <c r="F552" i="1"/>
  <c r="K338" i="1"/>
  <c r="K352" i="1" s="1"/>
  <c r="E128" i="2"/>
  <c r="C16" i="10"/>
  <c r="C15" i="10"/>
  <c r="J338" i="1"/>
  <c r="J352" i="1" s="1"/>
  <c r="L290" i="1"/>
  <c r="L338" i="1" s="1"/>
  <c r="L352" i="1" s="1"/>
  <c r="G633" i="1" s="1"/>
  <c r="J633" i="1" s="1"/>
  <c r="E110" i="2"/>
  <c r="E109" i="2"/>
  <c r="G651" i="1"/>
  <c r="J651" i="1" s="1"/>
  <c r="L247" i="1"/>
  <c r="C21" i="10"/>
  <c r="D15" i="13"/>
  <c r="C15" i="13" s="1"/>
  <c r="C110" i="2"/>
  <c r="C115" i="2" s="1"/>
  <c r="C109" i="2"/>
  <c r="K257" i="1"/>
  <c r="K271" i="1" s="1"/>
  <c r="D14" i="13"/>
  <c r="C14" i="13" s="1"/>
  <c r="G649" i="1"/>
  <c r="J649" i="1" s="1"/>
  <c r="C124" i="2"/>
  <c r="H647" i="1"/>
  <c r="J647" i="1" s="1"/>
  <c r="F662" i="1"/>
  <c r="I662" i="1" s="1"/>
  <c r="D12" i="13"/>
  <c r="C12" i="13" s="1"/>
  <c r="E8" i="13"/>
  <c r="C8" i="13" s="1"/>
  <c r="C119" i="2"/>
  <c r="G257" i="1"/>
  <c r="G271" i="1" s="1"/>
  <c r="C118" i="2"/>
  <c r="C10" i="10"/>
  <c r="C17" i="10"/>
  <c r="L211" i="1"/>
  <c r="D6" i="13"/>
  <c r="C6" i="13" s="1"/>
  <c r="D5" i="13"/>
  <c r="C5" i="13" s="1"/>
  <c r="F257" i="1"/>
  <c r="F271" i="1" s="1"/>
  <c r="E62" i="2"/>
  <c r="H112" i="1"/>
  <c r="H169" i="1"/>
  <c r="H193" i="1" s="1"/>
  <c r="G629" i="1" s="1"/>
  <c r="J629" i="1" s="1"/>
  <c r="I661" i="1"/>
  <c r="C91" i="2"/>
  <c r="C70" i="2"/>
  <c r="C62" i="2"/>
  <c r="C63" i="2" s="1"/>
  <c r="F112" i="1"/>
  <c r="C35" i="10"/>
  <c r="C36" i="10" s="1"/>
  <c r="E31" i="2"/>
  <c r="H52" i="1"/>
  <c r="H619" i="1" s="1"/>
  <c r="J619" i="1" s="1"/>
  <c r="D31" i="2"/>
  <c r="D18" i="2"/>
  <c r="J622" i="1"/>
  <c r="J617" i="1"/>
  <c r="C18" i="2"/>
  <c r="J645" i="1"/>
  <c r="J640" i="1"/>
  <c r="J271" i="1"/>
  <c r="L544" i="1"/>
  <c r="L524" i="1"/>
  <c r="H552" i="1"/>
  <c r="F169" i="1"/>
  <c r="E81" i="2"/>
  <c r="H660" i="1"/>
  <c r="H664" i="1" s="1"/>
  <c r="H667" i="1" s="1"/>
  <c r="G624" i="1"/>
  <c r="J624" i="1" s="1"/>
  <c r="L534" i="1"/>
  <c r="K500" i="1"/>
  <c r="I460" i="1"/>
  <c r="I452" i="1"/>
  <c r="I446" i="1"/>
  <c r="G642" i="1" s="1"/>
  <c r="D145" i="2"/>
  <c r="C78" i="2"/>
  <c r="E56" i="2"/>
  <c r="E63" i="2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G169" i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H646" i="1"/>
  <c r="G50" i="2"/>
  <c r="G51" i="2" s="1"/>
  <c r="J652" i="1"/>
  <c r="G571" i="1"/>
  <c r="I434" i="1"/>
  <c r="G434" i="1"/>
  <c r="I663" i="1"/>
  <c r="C27" i="10"/>
  <c r="G635" i="1"/>
  <c r="J635" i="1" s="1"/>
  <c r="C81" i="2" l="1"/>
  <c r="C104" i="2" s="1"/>
  <c r="I461" i="1"/>
  <c r="H642" i="1" s="1"/>
  <c r="J642" i="1" s="1"/>
  <c r="G672" i="1"/>
  <c r="C5" i="10" s="1"/>
  <c r="H648" i="1"/>
  <c r="J648" i="1" s="1"/>
  <c r="F660" i="1"/>
  <c r="F664" i="1" s="1"/>
  <c r="F667" i="1" s="1"/>
  <c r="E115" i="2"/>
  <c r="E145" i="2" s="1"/>
  <c r="E33" i="13"/>
  <c r="D35" i="13" s="1"/>
  <c r="C128" i="2"/>
  <c r="C145" i="2" s="1"/>
  <c r="C28" i="10"/>
  <c r="D19" i="10" s="1"/>
  <c r="L257" i="1"/>
  <c r="L271" i="1" s="1"/>
  <c r="G632" i="1" s="1"/>
  <c r="J632" i="1" s="1"/>
  <c r="E104" i="2"/>
  <c r="C39" i="10"/>
  <c r="H672" i="1"/>
  <c r="C6" i="10" s="1"/>
  <c r="F193" i="1"/>
  <c r="G627" i="1" s="1"/>
  <c r="J627" i="1" s="1"/>
  <c r="D31" i="13"/>
  <c r="C31" i="13" s="1"/>
  <c r="L545" i="1"/>
  <c r="G104" i="2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I660" i="1" l="1"/>
  <c r="I664" i="1" s="1"/>
  <c r="I672" i="1" s="1"/>
  <c r="C7" i="10" s="1"/>
  <c r="F672" i="1"/>
  <c r="C4" i="10" s="1"/>
  <c r="D33" i="13"/>
  <c r="D36" i="13" s="1"/>
  <c r="D11" i="10"/>
  <c r="D21" i="10"/>
  <c r="D22" i="10"/>
  <c r="D13" i="10"/>
  <c r="D27" i="10"/>
  <c r="D18" i="10"/>
  <c r="D17" i="10"/>
  <c r="D12" i="10"/>
  <c r="D24" i="10"/>
  <c r="D10" i="10"/>
  <c r="D26" i="10"/>
  <c r="C30" i="10"/>
  <c r="D16" i="10"/>
  <c r="D23" i="10"/>
  <c r="D20" i="10"/>
  <c r="D15" i="10"/>
  <c r="D25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<sst xmlns="http://schemas.openxmlformats.org/spreadsheetml/2006/main" count="3959" uniqueCount="915">
  <si>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</si>
  <si>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</si>
  <si>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</si>
  <si>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</si>
  <si>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</si>
  <si>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</si>
  <si>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</si>
  <si>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</si>
  <si>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</si>
  <si>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</si>
  <si>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</si>
  <si>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</si>
  <si>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</si>
  <si>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</si>
  <si>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</si>
  <si>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</si>
  <si>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</si>
  <si>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</si>
  <si>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</si>
  <si>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</si>
  <si>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</si>
  <si>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</si>
  <si>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</si>
  <si>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</si>
  <si>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</si>
  <si>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</si>
  <si>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</si>
  <si>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</si>
  <si>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</si>
  <si>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</si>
  <si>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</si>
  <si>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</si>
  <si>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</si>
  <si>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</si>
  <si>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</si>
  <si>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</si>
  <si>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</si>
  <si>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</si>
  <si>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</si>
  <si>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</si>
  <si>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</si>
  <si>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</si>
  <si>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</si>
  <si>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</si>
  <si>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</si>
  <si>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</si>
  <si>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</si>
  <si>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</si>
  <si>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</si>
  <si>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</si>
  <si>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</si>
  <si>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</si>
  <si>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</si>
  <si>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</si>
  <si>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</si>
  <si>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</si>
  <si>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</si>
  <si>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</si>
  <si>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</si>
  <si>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</si>
  <si>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</si>
  <si>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</si>
  <si>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</si>
  <si>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</si>
  <si>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</si>
  <si>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</si>
  <si>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</si>
  <si>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</si>
  <si>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</si>
  <si>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</si>
  <si>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</si>
  <si>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</si>
  <si>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</si>
  <si>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</si>
  <si>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</si>
  <si>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</si>
  <si>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</si>
  <si>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</si>
  <si>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</si>
  <si>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</si>
  <si>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</si>
  <si>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</si>
  <si>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</si>
  <si>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</si>
  <si>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</si>
  <si>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</si>
  <si>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</si>
  <si>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</si>
  <si>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</si>
  <si>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</si>
  <si>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</si>
  <si>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</si>
  <si>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</si>
  <si>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</si>
  <si>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</si>
  <si>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</si>
  <si>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</si>
  <si>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</si>
  <si>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</si>
  <si>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</si>
  <si>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</si>
  <si>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</si>
  <si>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</si>
  <si>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</si>
  <si>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</si>
  <si>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</si>
  <si>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</si>
  <si>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</si>
  <si>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</si>
  <si>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</si>
  <si>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</si>
  <si>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</si>
  <si>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</si>
  <si>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</si>
  <si>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</si>
  <si>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</si>
  <si>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</si>
  <si>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</si>
  <si>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</si>
  <si>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</si>
  <si>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</si>
  <si>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</si>
  <si>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</si>
  <si>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</si>
  <si>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</si>
  <si>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</si>
  <si>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</si>
  <si>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</si>
  <si>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</si>
  <si>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</si>
  <si>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</si>
  <si>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</si>
  <si>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</si>
  <si>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</si>
  <si>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</si>
  <si>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</si>
  <si>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</si>
  <si>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</si>
  <si>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</si>
  <si>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</si>
  <si>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</si>
  <si>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</si>
  <si>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</si>
  <si>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</si>
  <si>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</si>
  <si>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</si>
  <si>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</si>
  <si>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</si>
  <si>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</si>
  <si>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</si>
  <si>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</si>
  <si>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</si>
  <si>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</si>
  <si>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</si>
  <si>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</si>
  <si>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</si>
  <si>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</si>
  <si>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</si>
  <si>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</si>
  <si>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</si>
  <si>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</si>
  <si>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</si>
  <si>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</si>
  <si>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</si>
  <si>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</si>
  <si>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</si>
  <si>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</si>
  <si>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</si>
  <si>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</si>
  <si>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</si>
  <si>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</si>
  <si>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</si>
  <si>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</si>
  <si>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</si>
  <si>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</si>
  <si>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</si>
  <si>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</si>
  <si>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</si>
  <si>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</si>
  <si>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</si>
  <si>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</si>
  <si>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</si>
  <si>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</si>
  <si>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</si>
  <si>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</si>
  <si>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</si>
  <si>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</si>
  <si>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</si>
  <si>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</si>
  <si>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</si>
  <si>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</si>
  <si>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</si>
  <si>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</si>
  <si>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</si>
  <si>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</si>
  <si>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</si>
  <si>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</si>
  <si>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</si>
  <si>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</si>
  <si>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</si>
  <si>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</si>
  <si>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</si>
  <si>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</si>
  <si>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</si>
  <si>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</si>
  <si>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</si>
  <si>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</si>
  <si>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</si>
  <si>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</si>
  <si>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</si>
  <si>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</si>
  <si>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</si>
  <si>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</si>
  <si>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</si>
  <si>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</si>
  <si>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</si>
  <si>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</si>
  <si>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</si>
  <si>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</si>
  <si>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</si>
  <si>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</si>
  <si>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</si>
  <si>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</si>
  <si>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</si>
  <si>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</si>
  <si>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</si>
  <si>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</si>
  <si>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</si>
  <si>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</si>
  <si>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</si>
  <si>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</si>
  <si>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</si>
  <si>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</si>
  <si>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</si>
  <si>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</si>
  <si>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</si>
  <si>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</si>
  <si>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</si>
  <si>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</si>
  <si>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</si>
  <si>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</si>
  <si>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</si>
  <si>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</si>
  <si>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</si>
  <si>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</si>
  <si>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</si>
  <si>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</si>
  <si>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</si>
  <si>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</si>
  <si>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</si>
  <si>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</si>
  <si>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</si>
  <si>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</si>
  <si>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</si>
  <si>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</si>
  <si>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</si>
  <si>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</si>
  <si>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</si>
  <si>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</si>
  <si>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</si>
  <si>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</si>
  <si>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</si>
  <si>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</si>
  <si>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</si>
  <si>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</si>
  <si>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</si>
  <si>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</si>
  <si>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</si>
  <si>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</si>
  <si>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</si>
  <si>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</si>
  <si>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</si>
  <si>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</si>
  <si>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</si>
  <si>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</si>
  <si>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</si>
  <si>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</si>
  <si>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</si>
  <si>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</si>
  <si>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</si>
  <si>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</si>
  <si>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</si>
  <si>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</si>
  <si>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</si>
  <si>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</si>
  <si>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</si>
  <si>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</si>
  <si>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</si>
  <si>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</si>
  <si>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</si>
  <si>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</si>
  <si>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</si>
  <si>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</si>
  <si>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</si>
  <si>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</si>
  <si>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</si>
  <si>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</si>
  <si>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</si>
  <si>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</si>
  <si>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</si>
  <si>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</si>
  <si>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</si>
  <si>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</si>
  <si>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</si>
  <si>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</si>
  <si>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</si>
  <si>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</si>
  <si>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</si>
  <si>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</si>
  <si>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</si>
  <si>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</si>
  <si>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</si>
  <si>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</si>
  <si>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</si>
  <si>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</si>
  <si>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</si>
  <si>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</si>
  <si>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</si>
  <si>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</si>
  <si>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</si>
  <si>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</si>
  <si>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</si>
  <si>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</si>
  <si>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</si>
  <si>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</si>
  <si>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</si>
  <si>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</si>
  <si>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</si>
  <si>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</si>
  <si>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</si>
  <si>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</si>
  <si>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</si>
  <si>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</si>
  <si>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</si>
  <si>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</si>
  <si>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</si>
  <si>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</si>
  <si>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</si>
  <si>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</si>
  <si>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</si>
  <si>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</si>
  <si>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</si>
  <si>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</si>
  <si>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</si>
  <si>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</si>
  <si>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</si>
  <si>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</si>
  <si>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</si>
  <si>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</si>
  <si>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</si>
  <si>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</si>
  <si>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</si>
  <si>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</si>
  <si>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</si>
  <si>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</si>
  <si>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</si>
  <si>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</si>
  <si>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</si>
  <si>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</si>
  <si>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</si>
  <si>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</si>
  <si>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</si>
  <si>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</si>
  <si>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</si>
  <si>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</si>
  <si>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</si>
  <si>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</si>
  <si>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</si>
  <si>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</si>
  <si>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</si>
  <si>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</si>
  <si>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</si>
  <si>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</si>
  <si>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</si>
  <si>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</si>
  <si>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</si>
  <si>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</si>
  <si>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</si>
  <si>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</si>
  <si>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</si>
  <si>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</si>
  <si>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</si>
  <si>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</si>
  <si>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</si>
  <si>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</si>
  <si>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</si>
  <si>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</si>
  <si>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</si>
  <si>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</si>
  <si>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</si>
  <si>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</si>
  <si>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</si>
  <si>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</si>
  <si>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</si>
  <si>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</si>
  <si>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</si>
  <si>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</si>
  <si>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</si>
  <si>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</si>
  <si>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</si>
  <si>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</si>
  <si>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</si>
  <si>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</si>
  <si>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</si>
  <si>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</si>
  <si>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</si>
  <si>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</si>
  <si>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</si>
  <si>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</si>
  <si>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</si>
  <si>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</si>
  <si>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</si>
  <si>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</si>
  <si>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</si>
  <si>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</si>
  <si>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</si>
  <si>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</si>
  <si>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</si>
  <si>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</si>
  <si>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</si>
  <si>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</si>
  <si>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</si>
  <si>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</si>
  <si>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</si>
  <si>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</si>
  <si>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</si>
  <si>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</si>
  <si>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</si>
  <si>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</si>
  <si>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</si>
  <si>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</si>
  <si>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</si>
  <si>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</si>
  <si>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</si>
  <si>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</si>
  <si>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</si>
  <si>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</si>
  <si>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</si>
  <si>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</si>
  <si>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</si>
  <si>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</si>
  <si>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</si>
  <si>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</si>
  <si>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</si>
  <si>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</si>
  <si>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</si>
  <si>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</si>
  <si>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</si>
  <si>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</si>
  <si>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</si>
  <si>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</si>
  <si>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</si>
  <si>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</si>
  <si>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</si>
  <si>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</si>
  <si>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</si>
  <si>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</si>
  <si>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</si>
  <si>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</si>
  <si>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</si>
  <si>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</si>
  <si>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</si>
  <si>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</si>
  <si>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</si>
  <si>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</si>
  <si>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</si>
  <si>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</si>
  <si>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</si>
  <si>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</si>
  <si>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</si>
  <si>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</si>
  <si>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</si>
  <si>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</si>
  <si>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</si>
  <si>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</si>
  <si>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</si>
  <si>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</si>
  <si>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</si>
  <si>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</si>
  <si>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</si>
  <si>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</si>
  <si>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</si>
  <si>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</si>
  <si>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</si>
  <si>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</si>
  <si>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</si>
  <si>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</si>
  <si>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</si>
  <si>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</si>
  <si>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</si>
  <si>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</si>
  <si>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</si>
  <si>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</si>
  <si>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</si>
  <si>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</si>
  <si>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</si>
  <si>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</si>
  <si>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</si>
  <si>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</si>
  <si>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</si>
  <si>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</si>
  <si>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</si>
  <si>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</si>
  <si>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</si>
  <si>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</si>
  <si>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</si>
  <si>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</si>
  <si>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</si>
  <si>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</si>
  <si>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</si>
  <si>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</si>
  <si>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</si>
  <si>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</si>
  <si>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</si>
  <si>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</si>
  <si>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</si>
  <si>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</si>
  <si>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</si>
  <si>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</si>
  <si>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</si>
  <si>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</si>
  <si>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</si>
  <si>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</si>
  <si>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</si>
  <si>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</si>
  <si>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</si>
  <si>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</si>
  <si>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</si>
  <si>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</si>
  <si>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</si>
  <si>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</si>
  <si>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</si>
  <si>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</si>
  <si>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</si>
  <si>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</si>
  <si>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</si>
  <si>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</si>
  <si>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</si>
  <si>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</si>
  <si>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</si>
  <si>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</si>
  <si>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</si>
  <si>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</si>
  <si>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</si>
  <si>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</si>
  <si>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</si>
  <si>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</si>
  <si>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</si>
  <si>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</si>
  <si>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</si>
  <si>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</si>
  <si>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</si>
  <si>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</si>
  <si>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</si>
  <si>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</si>
  <si>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</si>
  <si>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</si>
  <si>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</si>
  <si>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</si>
  <si>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</si>
  <si>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</si>
  <si>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</si>
  <si>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</si>
  <si>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</si>
  <si>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</si>
  <si>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</si>
  <si>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</si>
  <si>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</si>
  <si>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</si>
  <si>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</si>
  <si>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</si>
  <si>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</si>
  <si>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</si>
  <si>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</si>
  <si>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</si>
  <si>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</si>
  <si>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</si>
  <si>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</si>
  <si>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</si>
  <si>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</si>
  <si>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</si>
  <si>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</si>
  <si>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</si>
  <si>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</si>
  <si>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</si>
  <si>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</si>
  <si>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</si>
  <si>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</si>
  <si>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</si>
  <si>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</si>
  <si>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</si>
  <si>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</si>
  <si>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</si>
  <si>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</si>
  <si>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</si>
  <si>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</si>
  <si>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</si>
  <si>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</si>
  <si>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</si>
  <si>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</si>
  <si>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</si>
  <si>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</si>
  <si>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</si>
  <si>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</si>
  <si>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</si>
  <si>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</si>
  <si>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</si>
  <si>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</si>
  <si>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</si>
  <si>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</si>
  <si>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</si>
  <si>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</si>
  <si>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</si>
  <si>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</si>
  <si>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</si>
  <si>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</si>
  <si>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</si>
  <si>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</si>
  <si>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</si>
  <si>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</si>
  <si>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</si>
  <si>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</si>
  <si>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</si>
  <si>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</si>
  <si>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</si>
  <si>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</si>
  <si>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</si>
  <si>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</si>
  <si>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</si>
  <si>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</si>
  <si>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</si>
  <si>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</si>
  <si>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</si>
  <si>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</si>
  <si>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</si>
  <si>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</si>
  <si>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</si>
  <si>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</si>
  <si>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</si>
  <si>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</si>
  <si>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</si>
  <si>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</si>
  <si>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</si>
  <si>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</si>
  <si>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</si>
  <si>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</si>
  <si>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</si>
  <si>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</si>
  <si>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</si>
  <si>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</si>
  <si>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</si>
  <si>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</si>
  <si>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</si>
  <si>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</si>
  <si>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</si>
  <si>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</si>
  <si>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</si>
  <si>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</si>
  <si>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</si>
  <si>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</si>
  <si>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</si>
  <si>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</si>
  <si>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</si>
  <si>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</si>
  <si>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</si>
  <si>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</si>
  <si>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</si>
  <si>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</si>
  <si>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</si>
  <si>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</si>
  <si>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</si>
  <si>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</si>
  <si>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</si>
  <si>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</si>
  <si>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</si>
  <si>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</si>
  <si>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</si>
  <si>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</si>
  <si>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</si>
  <si>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</si>
  <si>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</si>
  <si>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</si>
  <si>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</si>
  <si>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</si>
  <si>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</si>
  <si>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</si>
  <si>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</si>
  <si>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</si>
  <si>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</si>
  <si>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</si>
  <si>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</si>
  <si>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</si>
  <si>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</si>
  <si>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</si>
  <si>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</si>
  <si>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</si>
  <si>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</si>
  <si>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</si>
  <si>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</si>
  <si>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</si>
  <si>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</si>
  <si>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</si>
  <si>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</si>
  <si>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</si>
  <si>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</si>
  <si>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</si>
  <si>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</si>
  <si>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</si>
  <si>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</si>
  <si>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</si>
  <si>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</si>
  <si>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</si>
  <si>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</si>
  <si>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</si>
  <si>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</si>
  <si>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</si>
  <si>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</si>
  <si>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</si>
  <si>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</si>
  <si>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</si>
  <si>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</si>
  <si>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</si>
  <si>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</si>
  <si>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</si>
  <si>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</si>
  <si>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</si>
  <si>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</si>
  <si>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</si>
  <si>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</si>
  <si>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</si>
  <si>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</si>
  <si>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</si>
  <si>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</si>
  <si>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</si>
  <si>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</si>
  <si>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</si>
  <si>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</si>
  <si>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</si>
  <si>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</si>
  <si>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</si>
  <si>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</si>
  <si>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</si>
  <si>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</si>
  <si>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</si>
  <si>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</si>
  <si>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</si>
  <si>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</si>
  <si>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</si>
  <si>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</si>
  <si>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</si>
  <si>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</si>
  <si>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</si>
  <si>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</si>
  <si>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</si>
  <si>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</si>
  <si>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</si>
  <si>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</si>
  <si>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</si>
  <si>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</si>
  <si>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</si>
  <si>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</si>
  <si>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</si>
  <si>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</si>
  <si>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</si>
  <si>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</si>
  <si>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</si>
  <si>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</si>
  <si>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</si>
  <si>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</si>
  <si>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</si>
  <si>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</si>
  <si>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</si>
  <si>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</si>
  <si>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</si>
  <si>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</si>
  <si>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</si>
  <si>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</si>
  <si>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</si>
  <si>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</si>
  <si>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</si>
  <si>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</si>
  <si>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</si>
  <si>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</si>
  <si>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</si>
  <si>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</si>
  <si>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</si>
  <si>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</si>
  <si>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</si>
  <si>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</si>
  <si>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</si>
  <si>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</si>
  <si>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</si>
  <si>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</si>
  <si>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</si>
  <si>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</si>
  <si>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</si>
  <si>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</si>
  <si>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</si>
  <si>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</si>
  <si>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</si>
  <si>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</si>
  <si>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</si>
  <si>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</si>
  <si>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</si>
  <si>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</si>
  <si>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</si>
  <si>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</si>
  <si>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</si>
  <si>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</si>
  <si>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</si>
  <si>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</si>
  <si>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</si>
  <si>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</si>
  <si>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</si>
  <si>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</si>
  <si>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</si>
  <si>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</si>
  <si>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</si>
  <si>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</si>
  <si>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</si>
  <si>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</si>
  <si>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</si>
  <si>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</si>
  <si>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</si>
  <si>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</si>
  <si>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</si>
  <si>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</si>
  <si>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</si>
  <si>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</si>
  <si>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</si>
  <si>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</si>
  <si>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</si>
  <si>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</si>
  <si>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</si>
  <si>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</si>
  <si>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</si>
  <si>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</si>
  <si>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</si>
  <si>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</si>
  <si>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</si>
  <si>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</si>
  <si>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</si>
  <si>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</si>
  <si>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</si>
  <si>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</si>
  <si>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</si>
  <si>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</si>
  <si>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</si>
  <si>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</si>
  <si>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</si>
  <si>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</si>
  <si>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</si>
  <si>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</si>
  <si>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</si>
  <si>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</si>
  <si>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</si>
  <si>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</si>
  <si>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</si>
  <si>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</si>
  <si>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</si>
  <si>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</si>
  <si>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</si>
  <si>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</si>
  <si>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</si>
  <si>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</si>
  <si>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</si>
  <si>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</si>
  <si>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</si>
  <si>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</si>
  <si>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</si>
  <si>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</si>
  <si>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</si>
  <si>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</si>
  <si>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</si>
  <si>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</si>
  <si>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</si>
  <si>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</si>
  <si>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</si>
  <si>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</si>
  <si>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</si>
  <si>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</si>
  <si>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</si>
  <si>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</si>
  <si>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</si>
  <si>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</si>
  <si>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</si>
  <si>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</si>
  <si>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</si>
  <si>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</si>
  <si>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</si>
  <si>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</si>
  <si>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</si>
  <si>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</si>
  <si>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</si>
  <si>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</si>
  <si>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</si>
  <si>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</si>
  <si>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</si>
  <si>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</si>
  <si>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</si>
  <si>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</si>
  <si>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</si>
  <si>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</si>
  <si>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</si>
  <si>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</si>
  <si>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</si>
  <si>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</si>
  <si>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</si>
  <si>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</si>
  <si>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</si>
  <si>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</si>
  <si>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</si>
  <si>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Marlborough</t>
  </si>
  <si>
    <t>07/08</t>
  </si>
  <si>
    <t>08/28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</si>
</sst>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topLeftCell="A628" zoomScaleNormal="100" workbookViewId="0">
      <selection activeCell="F665" sqref="F665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339</v>
      </c>
      <c r="C2" s="21">
        <v>339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82815.27+100-66535.27</f>
        <v>16380</v>
      </c>
      <c r="G9" s="18"/>
      <c r="H9" s="18">
        <v>61583.15</v>
      </c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28308.83</v>
      </c>
      <c r="G10" s="18"/>
      <c r="H10" s="18"/>
      <c r="I10" s="18"/>
      <c r="J10" s="67">
        <f>SUM(I440)</f>
        <v>569953.58000000007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f>4387.29+37336.66</f>
        <v>41723.950000000004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7989.08</v>
      </c>
      <c r="G13" s="18">
        <v>5195.51</v>
      </c>
      <c r="H13" s="18">
        <v>42737.17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816.37</v>
      </c>
      <c r="G14" s="18">
        <v>804.89</v>
      </c>
      <c r="H14" s="18">
        <v>3078.31</v>
      </c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95218.23</v>
      </c>
      <c r="G19" s="41">
        <f>SUM(G9:G18)</f>
        <v>6000.4000000000005</v>
      </c>
      <c r="H19" s="41">
        <f>SUM(H9:H18)</f>
        <v>107398.63</v>
      </c>
      <c r="I19" s="41">
        <f>SUM(I9:I18)</f>
        <v>0</v>
      </c>
      <c r="J19" s="41">
        <f>SUM(J9:J18)</f>
        <v>569953.58000000007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f>4387.29+416.55+1196.56</f>
        <v>6000.4</v>
      </c>
      <c r="H22" s="18">
        <v>37336.660000000003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1413.59</v>
      </c>
      <c r="G23" s="18"/>
      <c r="H23" s="18">
        <v>2635.38</v>
      </c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12121.1</v>
      </c>
      <c r="G24" s="18"/>
      <c r="H24" s="18">
        <f>1128.57+8569.13</f>
        <v>9697.6999999999989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2449.54</v>
      </c>
      <c r="G28" s="18"/>
      <c r="H28" s="18">
        <v>1636.56</v>
      </c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>
        <v>8645.9500000000007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15984.23</v>
      </c>
      <c r="G32" s="41">
        <f>SUM(G22:G31)</f>
        <v>6000.4</v>
      </c>
      <c r="H32" s="41">
        <f>SUM(H22:H31)</f>
        <v>59952.25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1109.27</v>
      </c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569953.58000000007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>
        <v>47446.38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78124.73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79234</v>
      </c>
      <c r="G51" s="41">
        <f>SUM(G35:G50)</f>
        <v>0</v>
      </c>
      <c r="H51" s="41">
        <f>SUM(H35:H50)</f>
        <v>47446.38</v>
      </c>
      <c r="I51" s="41">
        <f>SUM(I35:I50)</f>
        <v>0</v>
      </c>
      <c r="J51" s="41">
        <f>SUM(J35:J50)</f>
        <v>569953.58000000007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95218.23</v>
      </c>
      <c r="G52" s="41">
        <f>G51+G32</f>
        <v>6000.4</v>
      </c>
      <c r="H52" s="41">
        <f>H51+H32</f>
        <v>107398.63</v>
      </c>
      <c r="I52" s="41">
        <f>I51+I32</f>
        <v>0</v>
      </c>
      <c r="J52" s="41">
        <f>J51+J32</f>
        <v>569953.58000000007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3182938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3182938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750</v>
      </c>
      <c r="G63" s="24" t="s">
        <v>286</v>
      </c>
      <c r="H63" s="18">
        <v>39722.67</v>
      </c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>
        <v>17975.099999999999</v>
      </c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18750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19500</v>
      </c>
      <c r="G79" s="45" t="s">
        <v>286</v>
      </c>
      <c r="H79" s="41">
        <f>SUM(H63:H78)</f>
        <v>57697.77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4845.79</v>
      </c>
      <c r="G96" s="18"/>
      <c r="H96" s="18"/>
      <c r="I96" s="18"/>
      <c r="J96" s="18">
        <v>8904.7999999999993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23790.91+3087.7+3010.15+1403.7</f>
        <v>31292.460000000003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250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5800</v>
      </c>
      <c r="G102" s="18"/>
      <c r="H102" s="18">
        <v>3750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4521.42+577.31</f>
        <v>5098.7299999999996</v>
      </c>
      <c r="G110" s="18"/>
      <c r="H110" s="18">
        <v>6264.69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15994.52</v>
      </c>
      <c r="G111" s="41">
        <f>SUM(G96:G110)</f>
        <v>31292.460000000003</v>
      </c>
      <c r="H111" s="41">
        <f>SUM(H96:H110)</f>
        <v>10014.689999999999</v>
      </c>
      <c r="I111" s="41">
        <f>SUM(I96:I110)</f>
        <v>0</v>
      </c>
      <c r="J111" s="41">
        <f>SUM(J96:J110)</f>
        <v>8904.7999999999993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3218432.52</v>
      </c>
      <c r="G112" s="41">
        <f>G60+G111</f>
        <v>31292.460000000003</v>
      </c>
      <c r="H112" s="41">
        <f>H60+H79+H94+H111</f>
        <v>67712.459999999992</v>
      </c>
      <c r="I112" s="41">
        <f>I60+I111</f>
        <v>0</v>
      </c>
      <c r="J112" s="41">
        <f>J60+J111</f>
        <v>8904.7999999999993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1273623.8700000001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361521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1915.86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1637060.7300000002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259633.37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>
        <v>4877.3900000000003</v>
      </c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7390.63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1264.57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271901.39</v>
      </c>
      <c r="G136" s="41">
        <f>SUM(G123:G135)</f>
        <v>1264.57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1908962.12</v>
      </c>
      <c r="G140" s="41">
        <f>G121+SUM(G136:G137)</f>
        <v>1264.57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>
        <v>3477.64</v>
      </c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f>578.86+57540.24</f>
        <v>58119.1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8956+431.74+19063.1+83265.94</f>
        <v>111716.78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73808.72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f>68835.82+3901.32+3132.27</f>
        <v>75869.410000000018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37034.730000000003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37034.730000000003</v>
      </c>
      <c r="G162" s="41">
        <f>SUM(G150:G161)</f>
        <v>73808.72</v>
      </c>
      <c r="H162" s="41">
        <f>SUM(H150:H161)</f>
        <v>249182.93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37034.730000000003</v>
      </c>
      <c r="G169" s="41">
        <f>G147+G162+SUM(G163:G168)</f>
        <v>73808.72</v>
      </c>
      <c r="H169" s="41">
        <f>H147+H162+SUM(H163:H168)</f>
        <v>249182.93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27173.06</v>
      </c>
      <c r="H179" s="18">
        <v>20000</v>
      </c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27173.06</v>
      </c>
      <c r="H183" s="41">
        <f>SUM(H179:H182)</f>
        <v>20000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27173.06</v>
      </c>
      <c r="H192" s="41">
        <f>+H183+SUM(H188:H191)</f>
        <v>20000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5164429.370000001</v>
      </c>
      <c r="G193" s="47">
        <f>G112+G140+G169+G192</f>
        <v>133538.81</v>
      </c>
      <c r="H193" s="47">
        <f>H112+H140+H169+H192</f>
        <v>336895.39</v>
      </c>
      <c r="I193" s="47">
        <f>I112+I140+I169+I192</f>
        <v>0</v>
      </c>
      <c r="J193" s="47">
        <f>J112+J140+J192</f>
        <v>8904.7999999999993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1027482.59</v>
      </c>
      <c r="G197" s="18">
        <v>434197.95</v>
      </c>
      <c r="H197" s="18">
        <v>3059</v>
      </c>
      <c r="I197" s="18">
        <v>47869.37</v>
      </c>
      <c r="J197" s="18">
        <v>7981.13</v>
      </c>
      <c r="K197" s="18"/>
      <c r="L197" s="19">
        <f>SUM(F197:K197)</f>
        <v>1520590.04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246492.17</v>
      </c>
      <c r="G198" s="18">
        <v>28497.38</v>
      </c>
      <c r="H198" s="18">
        <v>122667</v>
      </c>
      <c r="I198" s="18">
        <v>886.62</v>
      </c>
      <c r="J198" s="18">
        <v>-135.22999999999999</v>
      </c>
      <c r="K198" s="18"/>
      <c r="L198" s="19">
        <f>SUM(F198:K198)</f>
        <v>398407.94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f>9534.91+1849.5</f>
        <v>11384.41</v>
      </c>
      <c r="G200" s="18">
        <f>1128.7+265.12</f>
        <v>1393.8200000000002</v>
      </c>
      <c r="H200" s="18">
        <v>2980</v>
      </c>
      <c r="I200" s="18">
        <v>1386.89</v>
      </c>
      <c r="J200" s="18">
        <v>2313.52</v>
      </c>
      <c r="K200" s="18">
        <v>9818.16</v>
      </c>
      <c r="L200" s="19">
        <f>SUM(F200:K200)</f>
        <v>29276.799999999999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68284.06+47751.66+16599.96+54839.98</f>
        <v>187475.66</v>
      </c>
      <c r="G202" s="18">
        <f>37251.48+3829.54+1331.2+28911.12</f>
        <v>71323.34</v>
      </c>
      <c r="H202" s="18">
        <f>13135.65+771.01+6998.16+7182.95+22855.26</f>
        <v>50943.03</v>
      </c>
      <c r="I202" s="18">
        <f>153.92+999.5</f>
        <v>1153.42</v>
      </c>
      <c r="J202" s="18"/>
      <c r="K202" s="18"/>
      <c r="L202" s="19">
        <f t="shared" ref="L202:L208" si="0">SUM(F202:K202)</f>
        <v>310895.45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5050+500+51333.1</f>
        <v>56883.1</v>
      </c>
      <c r="G203" s="18">
        <f>1228.88+5982.06+35693.69</f>
        <v>42904.630000000005</v>
      </c>
      <c r="H203" s="18">
        <f>2874.13+135</f>
        <v>3009.13</v>
      </c>
      <c r="I203" s="18">
        <f>121.94+8788.26</f>
        <v>8910.2000000000007</v>
      </c>
      <c r="J203" s="18">
        <v>598.38</v>
      </c>
      <c r="K203" s="18">
        <v>587</v>
      </c>
      <c r="L203" s="19">
        <f t="shared" si="0"/>
        <v>112892.44000000002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f>6302.75+2400</f>
        <v>8702.75</v>
      </c>
      <c r="G204" s="18">
        <f>515.62+192.48</f>
        <v>708.1</v>
      </c>
      <c r="H204" s="18">
        <f>209.37+200+10050+663.75+200+192882</f>
        <v>204205.12</v>
      </c>
      <c r="I204" s="18">
        <v>1547.69</v>
      </c>
      <c r="J204" s="18"/>
      <c r="K204" s="18"/>
      <c r="L204" s="19">
        <f t="shared" si="0"/>
        <v>215163.66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133977.48000000001</v>
      </c>
      <c r="G205" s="18">
        <v>48109.94</v>
      </c>
      <c r="H205" s="18">
        <v>2727.87</v>
      </c>
      <c r="I205" s="18">
        <f>2480.9+376.54</f>
        <v>2857.44</v>
      </c>
      <c r="J205" s="18"/>
      <c r="K205" s="18"/>
      <c r="L205" s="19">
        <f t="shared" si="0"/>
        <v>187672.73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113356.57</v>
      </c>
      <c r="G207" s="18">
        <v>56876.4</v>
      </c>
      <c r="H207" s="18">
        <v>55771.53</v>
      </c>
      <c r="I207" s="18">
        <v>94178.52</v>
      </c>
      <c r="J207" s="18">
        <v>254.51</v>
      </c>
      <c r="K207" s="18"/>
      <c r="L207" s="19">
        <f t="shared" si="0"/>
        <v>320437.53000000003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f>92332.61+24127.79+5525.57+1368.5</f>
        <v>123354.47</v>
      </c>
      <c r="I208" s="18"/>
      <c r="J208" s="18"/>
      <c r="K208" s="18"/>
      <c r="L208" s="19">
        <f t="shared" si="0"/>
        <v>123354.47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>
        <v>-21.58</v>
      </c>
      <c r="H209" s="18">
        <f>3082+13967.16</f>
        <v>17049.16</v>
      </c>
      <c r="I209" s="18"/>
      <c r="J209" s="18">
        <v>3709.48</v>
      </c>
      <c r="K209" s="18"/>
      <c r="L209" s="19">
        <f>SUM(F209:K209)</f>
        <v>20737.059999999998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1785754.73</v>
      </c>
      <c r="G211" s="41">
        <f t="shared" si="1"/>
        <v>683989.98</v>
      </c>
      <c r="H211" s="41">
        <f t="shared" si="1"/>
        <v>585766.31000000006</v>
      </c>
      <c r="I211" s="41">
        <f t="shared" si="1"/>
        <v>158790.15000000002</v>
      </c>
      <c r="J211" s="41">
        <f t="shared" si="1"/>
        <v>14721.789999999999</v>
      </c>
      <c r="K211" s="41">
        <f t="shared" si="1"/>
        <v>10405.16</v>
      </c>
      <c r="L211" s="41">
        <f t="shared" si="1"/>
        <v>3239428.12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892952.39</v>
      </c>
      <c r="I233" s="18"/>
      <c r="J233" s="18"/>
      <c r="K233" s="18"/>
      <c r="L233" s="19">
        <f>SUM(F233:K233)</f>
        <v>892952.39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414460.38</v>
      </c>
      <c r="I234" s="18"/>
      <c r="J234" s="18"/>
      <c r="K234" s="18"/>
      <c r="L234" s="19">
        <f>SUM(F234:K234)</f>
        <v>414460.38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f>27885.99+80549.79</f>
        <v>108435.78</v>
      </c>
      <c r="I244" s="18"/>
      <c r="J244" s="18"/>
      <c r="K244" s="18"/>
      <c r="L244" s="19">
        <f t="shared" si="4"/>
        <v>108435.78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1415848.55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1415848.55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>
        <v>5800</v>
      </c>
      <c r="L253" s="19">
        <f t="shared" si="6"/>
        <v>5800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5800</v>
      </c>
      <c r="L256" s="41">
        <f>SUM(F256:K256)</f>
        <v>5800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1785754.73</v>
      </c>
      <c r="G257" s="41">
        <f t="shared" si="8"/>
        <v>683989.98</v>
      </c>
      <c r="H257" s="41">
        <f t="shared" si="8"/>
        <v>2001614.86</v>
      </c>
      <c r="I257" s="41">
        <f t="shared" si="8"/>
        <v>158790.15000000002</v>
      </c>
      <c r="J257" s="41">
        <f t="shared" si="8"/>
        <v>14721.789999999999</v>
      </c>
      <c r="K257" s="41">
        <f t="shared" si="8"/>
        <v>16205.16</v>
      </c>
      <c r="L257" s="41">
        <f t="shared" si="8"/>
        <v>4661076.67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542554.24</v>
      </c>
      <c r="L260" s="19">
        <f>SUM(F260:K260)</f>
        <v>542554.24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248372.26</v>
      </c>
      <c r="L261" s="19">
        <f>SUM(F261:K261)</f>
        <v>248372.26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27173.06</v>
      </c>
      <c r="L263" s="19">
        <f>SUM(F263:K263)</f>
        <v>27173.06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>
        <v>20000</v>
      </c>
      <c r="L264" s="19">
        <f t="shared" ref="L264:L270" si="9">SUM(F264:K264)</f>
        <v>20000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838099.56</v>
      </c>
      <c r="L270" s="41">
        <f t="shared" si="9"/>
        <v>838099.56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1785754.73</v>
      </c>
      <c r="G271" s="42">
        <f t="shared" si="11"/>
        <v>683989.98</v>
      </c>
      <c r="H271" s="42">
        <f t="shared" si="11"/>
        <v>2001614.86</v>
      </c>
      <c r="I271" s="42">
        <f t="shared" si="11"/>
        <v>158790.15000000002</v>
      </c>
      <c r="J271" s="42">
        <f t="shared" si="11"/>
        <v>14721.789999999999</v>
      </c>
      <c r="K271" s="42">
        <f t="shared" si="11"/>
        <v>854304.72000000009</v>
      </c>
      <c r="L271" s="42">
        <f t="shared" si="11"/>
        <v>5499176.2300000004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-130.64+49341.92+2865+28641.05</f>
        <v>80717.33</v>
      </c>
      <c r="G276" s="18">
        <f>-0.42+48.89-10+3774.67+182.59+2402.71+454.83+116.5</f>
        <v>6969.77</v>
      </c>
      <c r="H276" s="18">
        <f>1100+375.5</f>
        <v>1475.5</v>
      </c>
      <c r="I276" s="18">
        <f>9449.3+294.99+500+59.95+399</f>
        <v>10703.24</v>
      </c>
      <c r="J276" s="18">
        <f>1159.89+1099+2257.8+7458</f>
        <v>11974.69</v>
      </c>
      <c r="K276" s="18">
        <v>430</v>
      </c>
      <c r="L276" s="19">
        <f>SUM(F276:K276)</f>
        <v>112270.53000000001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41885.08</v>
      </c>
      <c r="G277" s="18">
        <f>118.43+3204.22+155.06</f>
        <v>3477.7099999999996</v>
      </c>
      <c r="H277" s="18"/>
      <c r="I277" s="18">
        <f>1615.21+608.2+9060.37+1014.43+928.72+430</f>
        <v>13656.93</v>
      </c>
      <c r="J277" s="18">
        <f>1263.78+2374.61</f>
        <v>3638.3900000000003</v>
      </c>
      <c r="K277" s="18"/>
      <c r="L277" s="19">
        <f>SUM(F277:K277)</f>
        <v>62658.11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f>15380.75+3085.04</f>
        <v>18465.79</v>
      </c>
      <c r="G279" s="18">
        <f>1176.49+48.04+236+9.44+0.18</f>
        <v>1470.15</v>
      </c>
      <c r="H279" s="18">
        <f>4135+1396</f>
        <v>5531</v>
      </c>
      <c r="I279" s="18"/>
      <c r="J279" s="18"/>
      <c r="K279" s="18">
        <v>1532.5</v>
      </c>
      <c r="L279" s="19">
        <f>SUM(F279:K279)</f>
        <v>26999.440000000002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>
        <f>8500+1394.98</f>
        <v>9894.98</v>
      </c>
      <c r="I281" s="18">
        <f>2090.95+421.87+1562.85+50.25</f>
        <v>4125.92</v>
      </c>
      <c r="J281" s="18"/>
      <c r="K281" s="18">
        <v>400</v>
      </c>
      <c r="L281" s="19">
        <f t="shared" ref="L281:L287" si="12">SUM(F281:K281)</f>
        <v>14420.9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f>2000+5522.8</f>
        <v>7522.8</v>
      </c>
      <c r="G282" s="18">
        <f>151.72+347.2+7.36+416.37+739.97+20.43</f>
        <v>1683.05</v>
      </c>
      <c r="H282" s="18">
        <f>535+1113.05+3258+4785.98</f>
        <v>9692.0299999999988</v>
      </c>
      <c r="I282" s="18">
        <f>413.14+1115.4</f>
        <v>1528.54</v>
      </c>
      <c r="J282" s="18"/>
      <c r="K282" s="18"/>
      <c r="L282" s="19">
        <f t="shared" si="12"/>
        <v>20426.419999999998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53634.1</v>
      </c>
      <c r="G283" s="18">
        <f>19229.76+700.08+84+187.72+3659.78+6103.51+190.75</f>
        <v>30155.599999999999</v>
      </c>
      <c r="H283" s="18">
        <f>600+1400+57.55+23.14+36.16</f>
        <v>2116.85</v>
      </c>
      <c r="I283" s="18">
        <v>500</v>
      </c>
      <c r="J283" s="18"/>
      <c r="K283" s="18"/>
      <c r="L283" s="19">
        <f t="shared" si="12"/>
        <v>86406.55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>
        <f>18.6+24.93+697.87+2106.67+2964.22+114.66+167.99+3048.27</f>
        <v>9143.2099999999991</v>
      </c>
      <c r="L285" s="19">
        <f t="shared" si="12"/>
        <v>9143.2099999999991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>
        <v>1000</v>
      </c>
      <c r="I286" s="18"/>
      <c r="J286" s="18"/>
      <c r="K286" s="18"/>
      <c r="L286" s="19">
        <f t="shared" si="12"/>
        <v>1000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f>1585.5+1005</f>
        <v>2590.5</v>
      </c>
      <c r="I287" s="18"/>
      <c r="J287" s="18"/>
      <c r="K287" s="18"/>
      <c r="L287" s="19">
        <f t="shared" si="12"/>
        <v>2590.5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>
        <v>661</v>
      </c>
      <c r="I288" s="18"/>
      <c r="J288" s="18"/>
      <c r="K288" s="18"/>
      <c r="L288" s="19">
        <f>SUM(F288:K288)</f>
        <v>661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202225.1</v>
      </c>
      <c r="G290" s="42">
        <f t="shared" si="13"/>
        <v>43756.28</v>
      </c>
      <c r="H290" s="42">
        <f t="shared" si="13"/>
        <v>32961.86</v>
      </c>
      <c r="I290" s="42">
        <f t="shared" si="13"/>
        <v>30514.629999999997</v>
      </c>
      <c r="J290" s="42">
        <f t="shared" si="13"/>
        <v>15613.080000000002</v>
      </c>
      <c r="K290" s="42">
        <f t="shared" si="13"/>
        <v>11505.71</v>
      </c>
      <c r="L290" s="41">
        <f t="shared" si="13"/>
        <v>336576.66000000003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202225.1</v>
      </c>
      <c r="G338" s="41">
        <f t="shared" si="20"/>
        <v>43756.28</v>
      </c>
      <c r="H338" s="41">
        <f t="shared" si="20"/>
        <v>32961.86</v>
      </c>
      <c r="I338" s="41">
        <f t="shared" si="20"/>
        <v>30514.629999999997</v>
      </c>
      <c r="J338" s="41">
        <f t="shared" si="20"/>
        <v>15613.080000000002</v>
      </c>
      <c r="K338" s="41">
        <f t="shared" si="20"/>
        <v>11505.71</v>
      </c>
      <c r="L338" s="41">
        <f t="shared" si="20"/>
        <v>336576.66000000003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202225.1</v>
      </c>
      <c r="G352" s="41">
        <f>G338</f>
        <v>43756.28</v>
      </c>
      <c r="H352" s="41">
        <f>H338</f>
        <v>32961.86</v>
      </c>
      <c r="I352" s="41">
        <f>I338</f>
        <v>30514.629999999997</v>
      </c>
      <c r="J352" s="41">
        <f>J338</f>
        <v>15613.080000000002</v>
      </c>
      <c r="K352" s="47">
        <f>K338+K351</f>
        <v>11505.71</v>
      </c>
      <c r="L352" s="41">
        <f>L338+L351</f>
        <v>336576.66000000003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41052.83</v>
      </c>
      <c r="G358" s="18">
        <f>19229.8+502.8+58.74+87.36+2772.75+2839.61+1423.03</f>
        <v>26914.09</v>
      </c>
      <c r="H358" s="18">
        <f>6000+996.7</f>
        <v>6996.7</v>
      </c>
      <c r="I358" s="18">
        <f>1469.78+56184.16+596.25+325</f>
        <v>58575.19</v>
      </c>
      <c r="J358" s="18"/>
      <c r="K358" s="18"/>
      <c r="L358" s="13">
        <f>SUM(F358:K358)</f>
        <v>133538.81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41052.83</v>
      </c>
      <c r="G362" s="47">
        <f t="shared" si="22"/>
        <v>26914.09</v>
      </c>
      <c r="H362" s="47">
        <f t="shared" si="22"/>
        <v>6996.7</v>
      </c>
      <c r="I362" s="47">
        <f t="shared" si="22"/>
        <v>58575.19</v>
      </c>
      <c r="J362" s="47">
        <f t="shared" si="22"/>
        <v>0</v>
      </c>
      <c r="K362" s="47">
        <f t="shared" si="22"/>
        <v>0</v>
      </c>
      <c r="L362" s="47">
        <f t="shared" si="22"/>
        <v>133538.81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56184.160000000003</v>
      </c>
      <c r="G367" s="18"/>
      <c r="H367" s="18"/>
      <c r="I367" s="56">
        <f>SUM(F367:H367)</f>
        <v>56184.160000000003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f>596.25+325+1469.78</f>
        <v>2391.0299999999997</v>
      </c>
      <c r="G368" s="63"/>
      <c r="H368" s="63"/>
      <c r="I368" s="56">
        <f>SUM(F368:H368)</f>
        <v>2391.0299999999997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58575.19</v>
      </c>
      <c r="G369" s="47">
        <f>SUM(G367:G368)</f>
        <v>0</v>
      </c>
      <c r="H369" s="47">
        <f>SUM(H367:H368)</f>
        <v>0</v>
      </c>
      <c r="I369" s="47">
        <f>SUM(I367:I368)</f>
        <v>58575.19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>
        <v>5583.29</v>
      </c>
      <c r="I389" s="18"/>
      <c r="J389" s="24" t="s">
        <v>286</v>
      </c>
      <c r="K389" s="24" t="s">
        <v>286</v>
      </c>
      <c r="L389" s="56">
        <f t="shared" si="25"/>
        <v>5583.29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5583.29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5583.29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>
        <f>43.97+3277.54</f>
        <v>3321.5099999999998</v>
      </c>
      <c r="I398" s="18"/>
      <c r="J398" s="24" t="s">
        <v>286</v>
      </c>
      <c r="K398" s="24" t="s">
        <v>286</v>
      </c>
      <c r="L398" s="56">
        <f t="shared" si="26"/>
        <v>3321.5099999999998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3321.5099999999998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3321.5099999999998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8904.7999999999993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8904.7999999999993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>
        <v>5884.07</v>
      </c>
      <c r="I415" s="18"/>
      <c r="J415" s="18"/>
      <c r="K415" s="18"/>
      <c r="L415" s="56">
        <f t="shared" si="27"/>
        <v>5884.07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5884.07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5884.07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>
        <f>669.57+278.99</f>
        <v>948.56000000000006</v>
      </c>
      <c r="I424" s="18"/>
      <c r="J424" s="18"/>
      <c r="K424" s="18"/>
      <c r="L424" s="56">
        <f t="shared" si="29"/>
        <v>948.56000000000006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948.56000000000006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948.56000000000006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6832.63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6832.63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337533.94</v>
      </c>
      <c r="G440" s="18">
        <f>229562.35+2857.29</f>
        <v>232419.64</v>
      </c>
      <c r="H440" s="18"/>
      <c r="I440" s="56">
        <f t="shared" si="33"/>
        <v>569953.58000000007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337533.94</v>
      </c>
      <c r="G446" s="13">
        <f>SUM(G439:G445)</f>
        <v>232419.64</v>
      </c>
      <c r="H446" s="13">
        <f>SUM(H439:H445)</f>
        <v>0</v>
      </c>
      <c r="I446" s="13">
        <f>SUM(I439:I445)</f>
        <v>569953.58000000007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337533.94</v>
      </c>
      <c r="G459" s="18">
        <v>232419.64</v>
      </c>
      <c r="H459" s="18"/>
      <c r="I459" s="56">
        <f t="shared" si="34"/>
        <v>569953.58000000007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337533.94</v>
      </c>
      <c r="G460" s="83">
        <f>SUM(G454:G459)</f>
        <v>232419.64</v>
      </c>
      <c r="H460" s="83">
        <f>SUM(H454:H459)</f>
        <v>0</v>
      </c>
      <c r="I460" s="83">
        <f>SUM(I454:I459)</f>
        <v>569953.58000000007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337533.94</v>
      </c>
      <c r="G461" s="42">
        <f>G452+G460</f>
        <v>232419.64</v>
      </c>
      <c r="H461" s="42">
        <f>H452+H460</f>
        <v>0</v>
      </c>
      <c r="I461" s="42">
        <f>I452+I460</f>
        <v>569953.58000000007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413980.86</v>
      </c>
      <c r="G465" s="18">
        <v>0</v>
      </c>
      <c r="H465" s="18">
        <v>47127.65</v>
      </c>
      <c r="I465" s="18">
        <v>0</v>
      </c>
      <c r="J465" s="18">
        <f>3092.31+226954.38+337834.72</f>
        <v>567881.40999999992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5164429.37</v>
      </c>
      <c r="G468" s="18">
        <v>133538.81</v>
      </c>
      <c r="H468" s="18">
        <f>249182.93+87712.46</f>
        <v>336895.39</v>
      </c>
      <c r="I468" s="18">
        <v>0</v>
      </c>
      <c r="J468" s="18">
        <f>43.97+3277.54+5583.29</f>
        <v>8904.7999999999993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5164429.37</v>
      </c>
      <c r="G470" s="53">
        <f>SUM(G468:G469)</f>
        <v>133538.81</v>
      </c>
      <c r="H470" s="53">
        <f>SUM(H468:H469)</f>
        <v>336895.39</v>
      </c>
      <c r="I470" s="53">
        <f>SUM(I468:I469)</f>
        <v>0</v>
      </c>
      <c r="J470" s="53">
        <f>SUM(J468:J469)</f>
        <v>8904.7999999999993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5499176.2300000004</v>
      </c>
      <c r="G472" s="18">
        <v>133538.81</v>
      </c>
      <c r="H472" s="18">
        <f>249182.93+87393.73</f>
        <v>336576.66</v>
      </c>
      <c r="I472" s="18"/>
      <c r="J472" s="18">
        <f>5884.07+669.57+278.99</f>
        <v>6832.6299999999992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5499176.2300000004</v>
      </c>
      <c r="G474" s="53">
        <f>SUM(G472:G473)</f>
        <v>133538.81</v>
      </c>
      <c r="H474" s="53">
        <f>SUM(H472:H473)</f>
        <v>336576.66</v>
      </c>
      <c r="I474" s="53">
        <f>SUM(I472:I473)</f>
        <v>0</v>
      </c>
      <c r="J474" s="53">
        <f>SUM(J472:J473)</f>
        <v>6832.6299999999992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79234</v>
      </c>
      <c r="G476" s="53">
        <f>(G465+G470)- G474</f>
        <v>0</v>
      </c>
      <c r="H476" s="53">
        <f>(H465+H470)- H474</f>
        <v>47446.380000000063</v>
      </c>
      <c r="I476" s="53">
        <f>(I465+I470)- I474</f>
        <v>0</v>
      </c>
      <c r="J476" s="53">
        <f>(J465+J470)- J474</f>
        <v>569953.57999999996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10960000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4.33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5144420.6399999997</v>
      </c>
      <c r="G495" s="18"/>
      <c r="H495" s="18"/>
      <c r="I495" s="18"/>
      <c r="J495" s="18"/>
      <c r="K495" s="53">
        <f>SUM(F495:J495)</f>
        <v>5144420.6399999997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542554.24</v>
      </c>
      <c r="G497" s="18"/>
      <c r="H497" s="18"/>
      <c r="I497" s="18"/>
      <c r="J497" s="18"/>
      <c r="K497" s="53">
        <f t="shared" si="35"/>
        <v>542554.24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4601866.4000000004</v>
      </c>
      <c r="G498" s="204"/>
      <c r="H498" s="204"/>
      <c r="I498" s="204"/>
      <c r="J498" s="204"/>
      <c r="K498" s="205">
        <f t="shared" si="35"/>
        <v>4601866.4000000004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3942909.6</v>
      </c>
      <c r="G499" s="18"/>
      <c r="H499" s="18"/>
      <c r="I499" s="18"/>
      <c r="J499" s="18"/>
      <c r="K499" s="53">
        <f t="shared" si="35"/>
        <v>3942909.6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8544776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8544776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517999.22</v>
      </c>
      <c r="G501" s="204"/>
      <c r="H501" s="204"/>
      <c r="I501" s="204"/>
      <c r="J501" s="204"/>
      <c r="K501" s="205">
        <f t="shared" si="35"/>
        <v>517999.22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271546.03000000003</v>
      </c>
      <c r="G502" s="18"/>
      <c r="H502" s="18"/>
      <c r="I502" s="18"/>
      <c r="J502" s="18"/>
      <c r="K502" s="53">
        <f t="shared" si="35"/>
        <v>271546.03000000003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789545.25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789545.25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47160.02+48314.38+107766.93+33963.14+9287.7+41885.08+16599.96+54839.98</f>
        <v>359817.19</v>
      </c>
      <c r="G521" s="18">
        <f>502.8+108.77+711.96+15547.28+7405.84+751.88+3308.8+160.05+118.43+3204.22+155.06+1269.84+61.36+14244.2+800+87.78+191.88+3864.3+9520.16+202.8</f>
        <v>62217.41</v>
      </c>
      <c r="H521" s="18">
        <f>121155+1512+11991.65+6998.16+7134.69+48.26+20591.72+2263.54+1113.05+135+24127.79</f>
        <v>197070.86000000002</v>
      </c>
      <c r="I521" s="18">
        <f>40.88+845.74+1615.21+608.2+9060.37+1014.43+928.72+430+2090.95+421.87+1562.85+50.25</f>
        <v>18669.469999999998</v>
      </c>
      <c r="J521" s="18">
        <f>-135.23+1263.78+2374.61</f>
        <v>3503.16</v>
      </c>
      <c r="K521" s="18">
        <f>2964.22+114.66+167.99</f>
        <v>3246.87</v>
      </c>
      <c r="L521" s="88">
        <f>SUM(F521:K521)</f>
        <v>644524.96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f>268494.42+121030.96+24935</f>
        <v>414460.38</v>
      </c>
      <c r="I523" s="18"/>
      <c r="J523" s="18"/>
      <c r="K523" s="18"/>
      <c r="L523" s="88">
        <f>SUM(F523:K523)</f>
        <v>414460.38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359817.19</v>
      </c>
      <c r="G524" s="108">
        <f t="shared" ref="G524:L524" si="36">SUM(G521:G523)</f>
        <v>62217.41</v>
      </c>
      <c r="H524" s="108">
        <f t="shared" si="36"/>
        <v>611531.24</v>
      </c>
      <c r="I524" s="108">
        <f t="shared" si="36"/>
        <v>18669.469999999998</v>
      </c>
      <c r="J524" s="108">
        <f t="shared" si="36"/>
        <v>3503.16</v>
      </c>
      <c r="K524" s="108">
        <f t="shared" si="36"/>
        <v>3246.87</v>
      </c>
      <c r="L524" s="89">
        <f t="shared" si="36"/>
        <v>1058985.3399999999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v>19879</v>
      </c>
      <c r="I531" s="18"/>
      <c r="J531" s="18"/>
      <c r="K531" s="18"/>
      <c r="L531" s="88">
        <f>SUM(F531:K531)</f>
        <v>19879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19879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19879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24127.79</v>
      </c>
      <c r="I541" s="18"/>
      <c r="J541" s="18"/>
      <c r="K541" s="18"/>
      <c r="L541" s="88">
        <f>SUM(F541:K541)</f>
        <v>24127.79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80549.789999999994</v>
      </c>
      <c r="I543" s="18"/>
      <c r="J543" s="18"/>
      <c r="K543" s="18"/>
      <c r="L543" s="88">
        <f>SUM(F543:K543)</f>
        <v>80549.789999999994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104677.57999999999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104677.57999999999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359817.19</v>
      </c>
      <c r="G545" s="89">
        <f t="shared" ref="G545:L545" si="41">G524+G529+G534+G539+G544</f>
        <v>62217.41</v>
      </c>
      <c r="H545" s="89">
        <f t="shared" si="41"/>
        <v>736087.82</v>
      </c>
      <c r="I545" s="89">
        <f t="shared" si="41"/>
        <v>18669.469999999998</v>
      </c>
      <c r="J545" s="89">
        <f t="shared" si="41"/>
        <v>3503.16</v>
      </c>
      <c r="K545" s="89">
        <f t="shared" si="41"/>
        <v>3246.87</v>
      </c>
      <c r="L545" s="89">
        <f t="shared" si="41"/>
        <v>1183541.92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644524.96</v>
      </c>
      <c r="G549" s="87">
        <f>L526</f>
        <v>0</v>
      </c>
      <c r="H549" s="87">
        <f>L531</f>
        <v>19879</v>
      </c>
      <c r="I549" s="87">
        <f>L536</f>
        <v>0</v>
      </c>
      <c r="J549" s="87">
        <f>L541</f>
        <v>24127.79</v>
      </c>
      <c r="K549" s="87">
        <f>SUM(F549:J549)</f>
        <v>688531.75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414460.38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80549.789999999994</v>
      </c>
      <c r="K551" s="87">
        <f>SUM(F551:J551)</f>
        <v>495010.17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1058985.3399999999</v>
      </c>
      <c r="G552" s="89">
        <f t="shared" si="42"/>
        <v>0</v>
      </c>
      <c r="H552" s="89">
        <f t="shared" si="42"/>
        <v>19879</v>
      </c>
      <c r="I552" s="89">
        <f t="shared" si="42"/>
        <v>0</v>
      </c>
      <c r="J552" s="89">
        <f t="shared" si="42"/>
        <v>104677.57999999999</v>
      </c>
      <c r="K552" s="89">
        <f t="shared" si="42"/>
        <v>1183541.92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892952.39</v>
      </c>
      <c r="I575" s="87">
        <f>SUM(F575:H575)</f>
        <v>892952.39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1512</v>
      </c>
      <c r="G579" s="18"/>
      <c r="H579" s="18">
        <v>268494.42</v>
      </c>
      <c r="I579" s="87">
        <f t="shared" si="47"/>
        <v>270006.42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>
        <v>121030.96</v>
      </c>
      <c r="I580" s="87">
        <f t="shared" si="47"/>
        <v>121030.96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121155</v>
      </c>
      <c r="G582" s="18"/>
      <c r="H582" s="18">
        <v>24935</v>
      </c>
      <c r="I582" s="87">
        <f t="shared" si="47"/>
        <v>146090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f>92332.61</f>
        <v>92332.61</v>
      </c>
      <c r="I591" s="18"/>
      <c r="J591" s="18">
        <v>27885.99</v>
      </c>
      <c r="K591" s="104">
        <f t="shared" ref="K591:K597" si="48">SUM(H591:J591)</f>
        <v>120218.6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24127.79</v>
      </c>
      <c r="I592" s="18"/>
      <c r="J592" s="18">
        <v>80549.789999999994</v>
      </c>
      <c r="K592" s="104">
        <f t="shared" si="48"/>
        <v>104677.57999999999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5525.57</v>
      </c>
      <c r="I594" s="18"/>
      <c r="J594" s="18"/>
      <c r="K594" s="104">
        <f t="shared" si="48"/>
        <v>5525.57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f>1368.5</f>
        <v>1368.5</v>
      </c>
      <c r="I595" s="18"/>
      <c r="J595" s="18"/>
      <c r="K595" s="104">
        <f t="shared" si="48"/>
        <v>1368.5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123354.47</v>
      </c>
      <c r="I598" s="108">
        <f>SUM(I591:I597)</f>
        <v>0</v>
      </c>
      <c r="J598" s="108">
        <f>SUM(J591:J597)</f>
        <v>108435.78</v>
      </c>
      <c r="K598" s="108">
        <f>SUM(K591:K597)</f>
        <v>231790.25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19955.82+3503.16+2313.52+598.38+254.51+3709.48</f>
        <v>30334.87</v>
      </c>
      <c r="I604" s="18"/>
      <c r="J604" s="18"/>
      <c r="K604" s="104">
        <f>SUM(H604:J604)</f>
        <v>30334.87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30334.87</v>
      </c>
      <c r="I605" s="108">
        <f>SUM(I602:I604)</f>
        <v>0</v>
      </c>
      <c r="J605" s="108">
        <f>SUM(J602:J604)</f>
        <v>0</v>
      </c>
      <c r="K605" s="108">
        <f>SUM(K602:K604)</f>
        <v>30334.87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f>1849.5+15380.75</f>
        <v>17230.25</v>
      </c>
      <c r="G611" s="18">
        <f>141.5+117.18+6.44+1176.49+48.04+0.18</f>
        <v>1489.8300000000002</v>
      </c>
      <c r="H611" s="18">
        <f>4135+1396</f>
        <v>5531</v>
      </c>
      <c r="I611" s="18"/>
      <c r="J611" s="18"/>
      <c r="K611" s="18">
        <v>1532.5</v>
      </c>
      <c r="L611" s="88">
        <f>SUM(F611:K611)</f>
        <v>25783.58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17230.25</v>
      </c>
      <c r="G614" s="108">
        <f t="shared" si="49"/>
        <v>1489.8300000000002</v>
      </c>
      <c r="H614" s="108">
        <f t="shared" si="49"/>
        <v>5531</v>
      </c>
      <c r="I614" s="108">
        <f t="shared" si="49"/>
        <v>0</v>
      </c>
      <c r="J614" s="108">
        <f t="shared" si="49"/>
        <v>0</v>
      </c>
      <c r="K614" s="108">
        <f t="shared" si="49"/>
        <v>1532.5</v>
      </c>
      <c r="L614" s="89">
        <f t="shared" si="49"/>
        <v>25783.58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95218.23</v>
      </c>
      <c r="H617" s="109">
        <f>SUM(F52)</f>
        <v>95218.23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6000.4000000000005</v>
      </c>
      <c r="H618" s="109">
        <f>SUM(G52)</f>
        <v>6000.4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107398.63</v>
      </c>
      <c r="H619" s="109">
        <f>SUM(H52)</f>
        <v>107398.63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569953.58000000007</v>
      </c>
      <c r="H621" s="109">
        <f>SUM(J52)</f>
        <v>569953.58000000007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79234</v>
      </c>
      <c r="H622" s="109">
        <f>F476</f>
        <v>79234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47446.38</v>
      </c>
      <c r="H624" s="109">
        <f>H476</f>
        <v>47446.380000000063</v>
      </c>
      <c r="I624" s="121" t="s">
        <v>103</v>
      </c>
      <c r="J624" s="109">
        <f t="shared" si="50"/>
        <v>-6.5483618527650833E-11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569953.58000000007</v>
      </c>
      <c r="H626" s="109">
        <f>J476</f>
        <v>569953.57999999996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5164429.370000001</v>
      </c>
      <c r="H627" s="104">
        <f>SUM(F468)</f>
        <v>5164429.37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133538.81</v>
      </c>
      <c r="H628" s="104">
        <f>SUM(G468)</f>
        <v>133538.81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336895.39</v>
      </c>
      <c r="H629" s="104">
        <f>SUM(H468)</f>
        <v>336895.39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8904.7999999999993</v>
      </c>
      <c r="H631" s="104">
        <f>SUM(J468)</f>
        <v>8904.7999999999993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5499176.2300000004</v>
      </c>
      <c r="H632" s="104">
        <f>SUM(F472)</f>
        <v>5499176.2300000004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336576.66000000003</v>
      </c>
      <c r="H633" s="104">
        <f>SUM(H472)</f>
        <v>336576.66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58575.19</v>
      </c>
      <c r="H634" s="104">
        <f>I369</f>
        <v>58575.19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133538.81</v>
      </c>
      <c r="H635" s="104">
        <f>SUM(G472)</f>
        <v>133538.81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8904.7999999999993</v>
      </c>
      <c r="H637" s="164">
        <f>SUM(J468)</f>
        <v>8904.7999999999993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6832.63</v>
      </c>
      <c r="H638" s="164">
        <f>SUM(J472)</f>
        <v>6832.6299999999992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337533.94</v>
      </c>
      <c r="H639" s="104">
        <f>SUM(F461)</f>
        <v>337533.94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232419.64</v>
      </c>
      <c r="H640" s="104">
        <f>SUM(G461)</f>
        <v>232419.64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569953.58000000007</v>
      </c>
      <c r="H642" s="104">
        <f>SUM(I461)</f>
        <v>569953.58000000007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8904.7999999999993</v>
      </c>
      <c r="H644" s="104">
        <f>H408</f>
        <v>8904.7999999999993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8904.7999999999993</v>
      </c>
      <c r="H646" s="104">
        <f>L408</f>
        <v>8904.7999999999993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231790.25</v>
      </c>
      <c r="H647" s="104">
        <f>L208+L226+L244</f>
        <v>231790.25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30334.87</v>
      </c>
      <c r="H648" s="104">
        <f>(J257+J338)-(J255+J336)</f>
        <v>30334.870000000003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123354.47</v>
      </c>
      <c r="H649" s="104">
        <f>H598</f>
        <v>123354.47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108435.78</v>
      </c>
      <c r="H651" s="104">
        <f>J598</f>
        <v>108435.78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27173.06</v>
      </c>
      <c r="H652" s="104">
        <f>K263+K345</f>
        <v>27173.06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20000</v>
      </c>
      <c r="H653" s="104">
        <f>K264</f>
        <v>20000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3709543.5900000003</v>
      </c>
      <c r="G660" s="19">
        <f>(L229+L309+L359)</f>
        <v>0</v>
      </c>
      <c r="H660" s="19">
        <f>(L247+L328+L360)</f>
        <v>1415848.55</v>
      </c>
      <c r="I660" s="19">
        <f>SUM(F660:H660)</f>
        <v>5125392.1400000006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31292.460000000003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31292.460000000003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125944.97</v>
      </c>
      <c r="G662" s="19">
        <f>(L226+L306)-(J226+J306)</f>
        <v>0</v>
      </c>
      <c r="H662" s="19">
        <f>(L244+L325)-(J244+J325)</f>
        <v>108435.78</v>
      </c>
      <c r="I662" s="19">
        <f>SUM(F662:H662)</f>
        <v>234380.75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178785.45</v>
      </c>
      <c r="G663" s="199">
        <f>SUM(G575:G587)+SUM(I602:I604)+L612</f>
        <v>0</v>
      </c>
      <c r="H663" s="199">
        <f>SUM(H575:H587)+SUM(J602:J604)+L613</f>
        <v>1307412.77</v>
      </c>
      <c r="I663" s="19">
        <f>SUM(F663:H663)</f>
        <v>1486198.22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3373520.7100000004</v>
      </c>
      <c r="G664" s="19">
        <f>G660-SUM(G661:G663)</f>
        <v>0</v>
      </c>
      <c r="H664" s="19">
        <f>H660-SUM(H661:H663)</f>
        <v>0</v>
      </c>
      <c r="I664" s="19">
        <f>I660-SUM(I661:I663)</f>
        <v>3373520.7100000009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171.77</v>
      </c>
      <c r="G665" s="248"/>
      <c r="H665" s="248"/>
      <c r="I665" s="19">
        <f>SUM(F665:H665)</f>
        <v>171.77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19639.75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19639.75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19639.75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19639.75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39" sqref="B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Marlborough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1108199.92</v>
      </c>
      <c r="C9" s="229">
        <f>'DOE25'!G197+'DOE25'!G215+'DOE25'!G233+'DOE25'!G276+'DOE25'!G295+'DOE25'!G314</f>
        <v>441167.72000000003</v>
      </c>
    </row>
    <row r="10" spans="1:3" x14ac:dyDescent="0.2">
      <c r="A10" t="s">
        <v>773</v>
      </c>
      <c r="B10" s="240">
        <v>991302.54</v>
      </c>
      <c r="C10" s="240">
        <v>402524.55</v>
      </c>
    </row>
    <row r="11" spans="1:3" x14ac:dyDescent="0.2">
      <c r="A11" t="s">
        <v>774</v>
      </c>
      <c r="B11" s="240">
        <v>97070.46</v>
      </c>
      <c r="C11" s="240">
        <v>38643.17</v>
      </c>
    </row>
    <row r="12" spans="1:3" x14ac:dyDescent="0.2">
      <c r="A12" t="s">
        <v>775</v>
      </c>
      <c r="B12" s="240">
        <v>19826.919999999998</v>
      </c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1108199.92</v>
      </c>
      <c r="C13" s="231">
        <f>SUM(C10:C12)</f>
        <v>441167.72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288377.25</v>
      </c>
      <c r="C18" s="229">
        <f>'DOE25'!G198+'DOE25'!G216+'DOE25'!G234+'DOE25'!G277+'DOE25'!G296+'DOE25'!G315</f>
        <v>31975.09</v>
      </c>
    </row>
    <row r="19" spans="1:3" x14ac:dyDescent="0.2">
      <c r="A19" t="s">
        <v>773</v>
      </c>
      <c r="B19" s="240">
        <v>81123.16</v>
      </c>
      <c r="C19" s="240">
        <v>8994.89</v>
      </c>
    </row>
    <row r="20" spans="1:3" x14ac:dyDescent="0.2">
      <c r="A20" t="s">
        <v>774</v>
      </c>
      <c r="B20" s="240">
        <v>99487.16</v>
      </c>
      <c r="C20" s="240">
        <v>22980.2</v>
      </c>
    </row>
    <row r="21" spans="1:3" x14ac:dyDescent="0.2">
      <c r="A21" t="s">
        <v>775</v>
      </c>
      <c r="B21" s="240">
        <v>107766.93</v>
      </c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288377.25</v>
      </c>
      <c r="C22" s="231">
        <f>SUM(C19:C21)</f>
        <v>31975.09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29850.2</v>
      </c>
      <c r="C36" s="235">
        <f>'DOE25'!G200+'DOE25'!G218+'DOE25'!G236+'DOE25'!G279+'DOE25'!G298+'DOE25'!G317</f>
        <v>2863.9700000000003</v>
      </c>
    </row>
    <row r="37" spans="1:3" x14ac:dyDescent="0.2">
      <c r="A37" t="s">
        <v>773</v>
      </c>
      <c r="B37" s="240">
        <v>11384.41</v>
      </c>
      <c r="C37" s="240">
        <v>1218.17</v>
      </c>
    </row>
    <row r="38" spans="1:3" x14ac:dyDescent="0.2">
      <c r="A38" t="s">
        <v>774</v>
      </c>
      <c r="B38" s="240">
        <v>18465.79</v>
      </c>
      <c r="C38" s="240">
        <v>1645.8</v>
      </c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29850.2</v>
      </c>
      <c r="C40" s="231">
        <f>SUM(C37:C39)</f>
        <v>2863.9700000000003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Marlborough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3255687.55</v>
      </c>
      <c r="D5" s="20">
        <f>SUM('DOE25'!L197:L200)+SUM('DOE25'!L215:L218)+SUM('DOE25'!L233:L236)-F5-G5</f>
        <v>3235709.9699999997</v>
      </c>
      <c r="E5" s="243"/>
      <c r="F5" s="255">
        <f>SUM('DOE25'!J197:J200)+SUM('DOE25'!J215:J218)+SUM('DOE25'!J233:J236)</f>
        <v>10159.42</v>
      </c>
      <c r="G5" s="53">
        <f>SUM('DOE25'!K197:K200)+SUM('DOE25'!K215:K218)+SUM('DOE25'!K233:K236)</f>
        <v>9818.16</v>
      </c>
      <c r="H5" s="259"/>
    </row>
    <row r="6" spans="1:9" x14ac:dyDescent="0.2">
      <c r="A6" s="32">
        <v>2100</v>
      </c>
      <c r="B6" t="s">
        <v>795</v>
      </c>
      <c r="C6" s="245">
        <f t="shared" si="0"/>
        <v>310895.45</v>
      </c>
      <c r="D6" s="20">
        <f>'DOE25'!L202+'DOE25'!L220+'DOE25'!L238-F6-G6</f>
        <v>310895.45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112892.44000000002</v>
      </c>
      <c r="D7" s="20">
        <f>'DOE25'!L203+'DOE25'!L221+'DOE25'!L239-F7-G7</f>
        <v>111707.06000000001</v>
      </c>
      <c r="E7" s="243"/>
      <c r="F7" s="255">
        <f>'DOE25'!J203+'DOE25'!J221+'DOE25'!J239</f>
        <v>598.38</v>
      </c>
      <c r="G7" s="53">
        <f>'DOE25'!K203+'DOE25'!K221+'DOE25'!K239</f>
        <v>587</v>
      </c>
      <c r="H7" s="259"/>
    </row>
    <row r="8" spans="1:9" x14ac:dyDescent="0.2">
      <c r="A8" s="32">
        <v>2300</v>
      </c>
      <c r="B8" t="s">
        <v>796</v>
      </c>
      <c r="C8" s="245">
        <f t="shared" si="0"/>
        <v>174173</v>
      </c>
      <c r="D8" s="243"/>
      <c r="E8" s="20">
        <f>'DOE25'!L204+'DOE25'!L222+'DOE25'!L240-F8-G8-D9-D11</f>
        <v>174173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812</v>
      </c>
      <c r="C9" s="245">
        <f t="shared" si="0"/>
        <v>12231.66</v>
      </c>
      <c r="D9" s="244">
        <f>8575.43+200+2592.48+663.75+200</f>
        <v>12231.66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10050</v>
      </c>
      <c r="D10" s="243"/>
      <c r="E10" s="244">
        <v>10050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28759</v>
      </c>
      <c r="D11" s="244">
        <v>28759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187672.73</v>
      </c>
      <c r="D12" s="20">
        <f>'DOE25'!L205+'DOE25'!L223+'DOE25'!L241-F12-G12</f>
        <v>187672.73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320437.53000000003</v>
      </c>
      <c r="D14" s="20">
        <f>'DOE25'!L207+'DOE25'!L225+'DOE25'!L243-F14-G14</f>
        <v>320183.02</v>
      </c>
      <c r="E14" s="243"/>
      <c r="F14" s="255">
        <f>'DOE25'!J207+'DOE25'!J225+'DOE25'!J243</f>
        <v>254.51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231790.25</v>
      </c>
      <c r="D15" s="20">
        <f>'DOE25'!L208+'DOE25'!L226+'DOE25'!L244-F15-G15</f>
        <v>231790.25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20737.059999999998</v>
      </c>
      <c r="D16" s="243"/>
      <c r="E16" s="20">
        <f>'DOE25'!L209+'DOE25'!L227+'DOE25'!L245-F16-G16</f>
        <v>17027.579999999998</v>
      </c>
      <c r="F16" s="255">
        <f>'DOE25'!J209+'DOE25'!J227+'DOE25'!J245</f>
        <v>3709.48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5800</v>
      </c>
      <c r="D19" s="20">
        <f>'DOE25'!L253-F19-G19</f>
        <v>0</v>
      </c>
      <c r="E19" s="243"/>
      <c r="F19" s="255">
        <f>'DOE25'!J253</f>
        <v>0</v>
      </c>
      <c r="G19" s="53">
        <f>'DOE25'!K253</f>
        <v>5800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790926.5</v>
      </c>
      <c r="D25" s="243"/>
      <c r="E25" s="243"/>
      <c r="F25" s="258"/>
      <c r="G25" s="256"/>
      <c r="H25" s="257">
        <f>'DOE25'!L260+'DOE25'!L261+'DOE25'!L341+'DOE25'!L342</f>
        <v>790926.5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77354.649999999994</v>
      </c>
      <c r="D29" s="20">
        <f>'DOE25'!L358+'DOE25'!L359+'DOE25'!L360-'DOE25'!I367-F29-G29</f>
        <v>77354.649999999994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336576.66000000003</v>
      </c>
      <c r="D31" s="20">
        <f>'DOE25'!L290+'DOE25'!L309+'DOE25'!L328+'DOE25'!L333+'DOE25'!L334+'DOE25'!L335-F31-G31</f>
        <v>309457.87</v>
      </c>
      <c r="E31" s="243"/>
      <c r="F31" s="255">
        <f>'DOE25'!J290+'DOE25'!J309+'DOE25'!J328+'DOE25'!J333+'DOE25'!J334+'DOE25'!J335</f>
        <v>15613.080000000002</v>
      </c>
      <c r="G31" s="53">
        <f>'DOE25'!K290+'DOE25'!K309+'DOE25'!K328+'DOE25'!K333+'DOE25'!K334+'DOE25'!K335</f>
        <v>11505.71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4825761.6600000011</v>
      </c>
      <c r="E33" s="246">
        <f>SUM(E5:E31)</f>
        <v>201250.58</v>
      </c>
      <c r="F33" s="246">
        <f>SUM(F5:F31)</f>
        <v>30334.870000000003</v>
      </c>
      <c r="G33" s="246">
        <f>SUM(G5:G31)</f>
        <v>27710.87</v>
      </c>
      <c r="H33" s="246">
        <f>SUM(H5:H31)</f>
        <v>790926.5</v>
      </c>
    </row>
    <row r="35" spans="2:8" ht="12" thickBot="1" x14ac:dyDescent="0.25">
      <c r="B35" s="253" t="s">
        <v>841</v>
      </c>
      <c r="D35" s="254">
        <f>E33</f>
        <v>201250.58</v>
      </c>
      <c r="E35" s="249"/>
    </row>
    <row r="36" spans="2:8" ht="12" thickTop="1" x14ac:dyDescent="0.2">
      <c r="B36" t="s">
        <v>809</v>
      </c>
      <c r="D36" s="20">
        <f>D33</f>
        <v>4825761.6600000011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2" activePane="bottomLeft" state="frozen"/>
      <selection activeCell="F46" sqref="F46"/>
      <selection pane="bottomLeft" activeCell="C56" sqref="C5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Marlborough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16380</v>
      </c>
      <c r="D8" s="95">
        <f>'DOE25'!G9</f>
        <v>0</v>
      </c>
      <c r="E8" s="95">
        <f>'DOE25'!H9</f>
        <v>61583.15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28308.83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569953.58000000007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41723.950000000004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7989.08</v>
      </c>
      <c r="D12" s="95">
        <f>'DOE25'!G13</f>
        <v>5195.51</v>
      </c>
      <c r="E12" s="95">
        <f>'DOE25'!H13</f>
        <v>42737.17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816.37</v>
      </c>
      <c r="D13" s="95">
        <f>'DOE25'!G14</f>
        <v>804.89</v>
      </c>
      <c r="E13" s="95">
        <f>'DOE25'!H14</f>
        <v>3078.31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95218.23</v>
      </c>
      <c r="D18" s="41">
        <f>SUM(D8:D17)</f>
        <v>6000.4000000000005</v>
      </c>
      <c r="E18" s="41">
        <f>SUM(E8:E17)</f>
        <v>107398.63</v>
      </c>
      <c r="F18" s="41">
        <f>SUM(F8:F17)</f>
        <v>0</v>
      </c>
      <c r="G18" s="41">
        <f>SUM(G8:G17)</f>
        <v>569953.58000000007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6000.4</v>
      </c>
      <c r="E21" s="95">
        <f>'DOE25'!H22</f>
        <v>37336.660000000003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1413.59</v>
      </c>
      <c r="D22" s="95">
        <f>'DOE25'!G23</f>
        <v>0</v>
      </c>
      <c r="E22" s="95">
        <f>'DOE25'!H23</f>
        <v>2635.38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12121.1</v>
      </c>
      <c r="D23" s="95">
        <f>'DOE25'!G24</f>
        <v>0</v>
      </c>
      <c r="E23" s="95">
        <f>'DOE25'!H24</f>
        <v>9697.6999999999989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2449.54</v>
      </c>
      <c r="D27" s="95">
        <f>'DOE25'!G28</f>
        <v>0</v>
      </c>
      <c r="E27" s="95">
        <f>'DOE25'!H28</f>
        <v>1636.56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8645.9500000000007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15984.23</v>
      </c>
      <c r="D31" s="41">
        <f>SUM(D21:D30)</f>
        <v>6000.4</v>
      </c>
      <c r="E31" s="41">
        <f>SUM(E21:E30)</f>
        <v>59952.25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1109.27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569953.58000000007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47446.38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78124.73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79234</v>
      </c>
      <c r="D50" s="41">
        <f>SUM(D34:D49)</f>
        <v>0</v>
      </c>
      <c r="E50" s="41">
        <f>SUM(E34:E49)</f>
        <v>47446.38</v>
      </c>
      <c r="F50" s="41">
        <f>SUM(F34:F49)</f>
        <v>0</v>
      </c>
      <c r="G50" s="41">
        <f>SUM(G34:G49)</f>
        <v>569953.58000000007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95218.23</v>
      </c>
      <c r="D51" s="41">
        <f>D50+D31</f>
        <v>6000.4</v>
      </c>
      <c r="E51" s="41">
        <f>E50+E31</f>
        <v>107398.63</v>
      </c>
      <c r="F51" s="41">
        <f>F50+F31</f>
        <v>0</v>
      </c>
      <c r="G51" s="41">
        <f>G50+G31</f>
        <v>569953.58000000007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3182938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19500</v>
      </c>
      <c r="D57" s="24" t="s">
        <v>286</v>
      </c>
      <c r="E57" s="95">
        <f>'DOE25'!H79</f>
        <v>57697.77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4845.79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8904.7999999999993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31292.460000000003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11148.73</v>
      </c>
      <c r="D61" s="95">
        <f>SUM('DOE25'!G98:G110)</f>
        <v>0</v>
      </c>
      <c r="E61" s="95">
        <f>SUM('DOE25'!H98:H110)</f>
        <v>10014.689999999999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35494.520000000004</v>
      </c>
      <c r="D62" s="130">
        <f>SUM(D57:D61)</f>
        <v>31292.460000000003</v>
      </c>
      <c r="E62" s="130">
        <f>SUM(E57:E61)</f>
        <v>67712.459999999992</v>
      </c>
      <c r="F62" s="130">
        <f>SUM(F57:F61)</f>
        <v>0</v>
      </c>
      <c r="G62" s="130">
        <f>SUM(G57:G61)</f>
        <v>8904.7999999999993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3218432.52</v>
      </c>
      <c r="D63" s="22">
        <f>D56+D62</f>
        <v>31292.460000000003</v>
      </c>
      <c r="E63" s="22">
        <f>E56+E62</f>
        <v>67712.459999999992</v>
      </c>
      <c r="F63" s="22">
        <f>F56+F62</f>
        <v>0</v>
      </c>
      <c r="G63" s="22">
        <f>G56+G62</f>
        <v>8904.7999999999993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1273623.8700000001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361521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1915.86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1637060.7300000002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259633.37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4877.3900000000003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7390.63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1264.57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271901.39</v>
      </c>
      <c r="D78" s="130">
        <f>SUM(D72:D77)</f>
        <v>1264.57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1908962.12</v>
      </c>
      <c r="D81" s="130">
        <f>SUM(D79:D80)+D78+D70</f>
        <v>1264.57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3477.64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37034.730000000003</v>
      </c>
      <c r="D88" s="95">
        <f>SUM('DOE25'!G153:G161)</f>
        <v>73808.72</v>
      </c>
      <c r="E88" s="95">
        <f>SUM('DOE25'!H153:H161)</f>
        <v>245705.29000000004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37034.730000000003</v>
      </c>
      <c r="D91" s="131">
        <f>SUM(D85:D90)</f>
        <v>73808.72</v>
      </c>
      <c r="E91" s="131">
        <f>SUM(E85:E90)</f>
        <v>249182.93000000005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27173.06</v>
      </c>
      <c r="E96" s="95">
        <f>'DOE25'!H179</f>
        <v>20000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27173.06</v>
      </c>
      <c r="E103" s="86">
        <f>SUM(E93:E102)</f>
        <v>20000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5164429.370000001</v>
      </c>
      <c r="D104" s="86">
        <f>D63+D81+D91+D103</f>
        <v>133538.81</v>
      </c>
      <c r="E104" s="86">
        <f>E63+E81+E91+E103</f>
        <v>336895.39</v>
      </c>
      <c r="F104" s="86">
        <f>F63+F81+F91+F103</f>
        <v>0</v>
      </c>
      <c r="G104" s="86">
        <f>G63+G81+G103</f>
        <v>8904.7999999999993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2413542.4300000002</v>
      </c>
      <c r="D109" s="24" t="s">
        <v>286</v>
      </c>
      <c r="E109" s="95">
        <f>('DOE25'!L276)+('DOE25'!L295)+('DOE25'!L314)</f>
        <v>112270.53000000001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812868.32000000007</v>
      </c>
      <c r="D110" s="24" t="s">
        <v>286</v>
      </c>
      <c r="E110" s="95">
        <f>('DOE25'!L277)+('DOE25'!L296)+('DOE25'!L315)</f>
        <v>62658.11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29276.799999999999</v>
      </c>
      <c r="D112" s="24" t="s">
        <v>286</v>
      </c>
      <c r="E112" s="95">
        <f>+('DOE25'!L279)+('DOE25'!L298)+('DOE25'!L317)</f>
        <v>26999.440000000002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5800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3261487.55</v>
      </c>
      <c r="D115" s="86">
        <f>SUM(D109:D114)</f>
        <v>0</v>
      </c>
      <c r="E115" s="86">
        <f>SUM(E109:E114)</f>
        <v>201928.08000000002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310895.45</v>
      </c>
      <c r="D118" s="24" t="s">
        <v>286</v>
      </c>
      <c r="E118" s="95">
        <f>+('DOE25'!L281)+('DOE25'!L300)+('DOE25'!L319)</f>
        <v>14420.9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112892.44000000002</v>
      </c>
      <c r="D119" s="24" t="s">
        <v>286</v>
      </c>
      <c r="E119" s="95">
        <f>+('DOE25'!L282)+('DOE25'!L301)+('DOE25'!L320)</f>
        <v>20426.419999999998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215163.66</v>
      </c>
      <c r="D120" s="24" t="s">
        <v>286</v>
      </c>
      <c r="E120" s="95">
        <f>+('DOE25'!L283)+('DOE25'!L302)+('DOE25'!L321)</f>
        <v>86406.55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187672.73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9143.2099999999991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320437.53000000003</v>
      </c>
      <c r="D123" s="24" t="s">
        <v>286</v>
      </c>
      <c r="E123" s="95">
        <f>+('DOE25'!L286)+('DOE25'!L305)+('DOE25'!L324)</f>
        <v>1000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231790.25</v>
      </c>
      <c r="D124" s="24" t="s">
        <v>286</v>
      </c>
      <c r="E124" s="95">
        <f>+('DOE25'!L287)+('DOE25'!L306)+('DOE25'!L325)</f>
        <v>2590.5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20737.059999999998</v>
      </c>
      <c r="D125" s="24" t="s">
        <v>286</v>
      </c>
      <c r="E125" s="95">
        <f>+('DOE25'!L288)+('DOE25'!L307)+('DOE25'!L326)</f>
        <v>661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133538.81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1399589.12</v>
      </c>
      <c r="D128" s="86">
        <f>SUM(D118:D127)</f>
        <v>133538.81</v>
      </c>
      <c r="E128" s="86">
        <f>SUM(E118:E127)</f>
        <v>134648.57999999999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542554.24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248372.26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27173.06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20000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5583.29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3321.5099999999998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-8904.7999999999993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838099.56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5499176.2300000004</v>
      </c>
      <c r="D145" s="86">
        <f>(D115+D128+D144)</f>
        <v>133538.81</v>
      </c>
      <c r="E145" s="86">
        <f>(E115+E128+E144)</f>
        <v>336576.66000000003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07/08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08/28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10960000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4.33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5144420.6399999997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5144420.6399999997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542554.24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542554.24</v>
      </c>
    </row>
    <row r="159" spans="1:9" x14ac:dyDescent="0.2">
      <c r="A159" s="22" t="s">
        <v>35</v>
      </c>
      <c r="B159" s="137">
        <f>'DOE25'!F498</f>
        <v>4601866.4000000004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4601866.4000000004</v>
      </c>
    </row>
    <row r="160" spans="1:9" x14ac:dyDescent="0.2">
      <c r="A160" s="22" t="s">
        <v>36</v>
      </c>
      <c r="B160" s="137">
        <f>'DOE25'!F499</f>
        <v>3942909.6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3942909.6</v>
      </c>
    </row>
    <row r="161" spans="1:7" x14ac:dyDescent="0.2">
      <c r="A161" s="22" t="s">
        <v>37</v>
      </c>
      <c r="B161" s="137">
        <f>'DOE25'!F500</f>
        <v>8544776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8544776</v>
      </c>
    </row>
    <row r="162" spans="1:7" x14ac:dyDescent="0.2">
      <c r="A162" s="22" t="s">
        <v>38</v>
      </c>
      <c r="B162" s="137">
        <f>'DOE25'!F501</f>
        <v>517999.22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517999.22</v>
      </c>
    </row>
    <row r="163" spans="1:7" x14ac:dyDescent="0.2">
      <c r="A163" s="22" t="s">
        <v>39</v>
      </c>
      <c r="B163" s="137">
        <f>'DOE25'!F502</f>
        <v>271546.03000000003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271546.03000000003</v>
      </c>
    </row>
    <row r="164" spans="1:7" x14ac:dyDescent="0.2">
      <c r="A164" s="22" t="s">
        <v>246</v>
      </c>
      <c r="B164" s="137">
        <f>'DOE25'!F503</f>
        <v>789545.25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789545.25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F50" sqref="F50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Marlborough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19640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19640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2525813</v>
      </c>
      <c r="D10" s="182">
        <f>ROUND((C10/$C$28)*100,1)</f>
        <v>47.2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875526</v>
      </c>
      <c r="D11" s="182">
        <f>ROUND((C11/$C$28)*100,1)</f>
        <v>16.399999999999999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56276</v>
      </c>
      <c r="D13" s="182">
        <f>ROUND((C13/$C$28)*100,1)</f>
        <v>1.1000000000000001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325316</v>
      </c>
      <c r="D15" s="182">
        <f t="shared" ref="D15:D27" si="0">ROUND((C15/$C$28)*100,1)</f>
        <v>6.1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133319</v>
      </c>
      <c r="D16" s="182">
        <f t="shared" si="0"/>
        <v>2.5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322968</v>
      </c>
      <c r="D17" s="182">
        <f t="shared" si="0"/>
        <v>6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187673</v>
      </c>
      <c r="D18" s="182">
        <f t="shared" si="0"/>
        <v>3.5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9143</v>
      </c>
      <c r="D19" s="182">
        <f t="shared" si="0"/>
        <v>0.2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321438</v>
      </c>
      <c r="D20" s="182">
        <f t="shared" si="0"/>
        <v>6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234381</v>
      </c>
      <c r="D21" s="182">
        <f t="shared" si="0"/>
        <v>4.4000000000000004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5800</v>
      </c>
      <c r="D24" s="182">
        <f t="shared" si="0"/>
        <v>0.1</v>
      </c>
    </row>
    <row r="25" spans="1:4" x14ac:dyDescent="0.2">
      <c r="A25">
        <v>5120</v>
      </c>
      <c r="B25" t="s">
        <v>714</v>
      </c>
      <c r="C25" s="179">
        <f>ROUND('DOE25'!L261+'DOE25'!L342,0)</f>
        <v>248372</v>
      </c>
      <c r="D25" s="182">
        <f t="shared" si="0"/>
        <v>4.5999999999999996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102246.54</v>
      </c>
      <c r="D27" s="182">
        <f t="shared" si="0"/>
        <v>1.9</v>
      </c>
    </row>
    <row r="28" spans="1:4" x14ac:dyDescent="0.2">
      <c r="B28" s="187" t="s">
        <v>717</v>
      </c>
      <c r="C28" s="180">
        <f>SUM(C10:C27)</f>
        <v>5348271.54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5348271.54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542554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3182938</v>
      </c>
      <c r="D35" s="182">
        <f t="shared" ref="D35:D40" si="1">ROUND((C35/$C$41)*100,1)</f>
        <v>57.2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112111.7799999998</v>
      </c>
      <c r="D36" s="182">
        <f t="shared" si="1"/>
        <v>2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1635145</v>
      </c>
      <c r="D37" s="182">
        <f t="shared" si="1"/>
        <v>29.4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275082</v>
      </c>
      <c r="D38" s="182">
        <f t="shared" si="1"/>
        <v>4.9000000000000004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360026</v>
      </c>
      <c r="D39" s="182">
        <f t="shared" si="1"/>
        <v>6.5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5565302.7799999993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Marlborough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2018-09-24T14:43:54Z</cp:lastPrinted>
  <dcterms:created xsi:type="dcterms:W3CDTF">1997-12-04T19:04:30Z</dcterms:created>
  <dcterms:modified xsi:type="dcterms:W3CDTF">2018-11-30T15:21:13Z</dcterms:modified>
</cp:coreProperties>
</file>